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EUROGAS\Milevsko\projekt\DSP+DPS\Final  up1\rozpočet Milevsko\"/>
    </mc:Choice>
  </mc:AlternateContent>
  <bookViews>
    <workbookView xWindow="360" yWindow="60" windowWidth="11340" windowHeight="6045"/>
  </bookViews>
  <sheets>
    <sheet name="Přehled" sheetId="14" r:id="rId1"/>
    <sheet name="Nový hřbitov-centrum" sheetId="11" r:id="rId2"/>
    <sheet name="Nový hřbitov-jih" sheetId="12" r:id="rId3"/>
    <sheet name="List2" sheetId="2" r:id="rId4"/>
  </sheets>
  <calcPr calcId="152511"/>
</workbook>
</file>

<file path=xl/calcChain.xml><?xml version="1.0" encoding="utf-8"?>
<calcChain xmlns="http://schemas.openxmlformats.org/spreadsheetml/2006/main">
  <c r="N32" i="12" l="1"/>
  <c r="W16" i="11" l="1"/>
  <c r="L15" i="11"/>
  <c r="F36" i="14" l="1"/>
  <c r="G36" i="14"/>
  <c r="H36" i="14"/>
  <c r="I36" i="14"/>
  <c r="J36" i="14"/>
  <c r="K36" i="14"/>
  <c r="L36" i="14"/>
  <c r="E36" i="14"/>
  <c r="D36" i="14"/>
  <c r="C36" i="14"/>
  <c r="B36" i="14"/>
  <c r="U32" i="12"/>
  <c r="T32" i="12"/>
  <c r="S32" i="12"/>
  <c r="R32" i="12"/>
  <c r="Q32" i="12"/>
  <c r="P32" i="12"/>
  <c r="O32" i="12"/>
  <c r="M32" i="12"/>
  <c r="G32" i="12"/>
  <c r="C57" i="14"/>
  <c r="D37" i="12"/>
  <c r="D34" i="12"/>
  <c r="B32" i="12"/>
  <c r="U29" i="12"/>
  <c r="T29" i="12"/>
  <c r="S29" i="12"/>
  <c r="R29" i="12"/>
  <c r="N29" i="12"/>
  <c r="G30" i="11"/>
  <c r="G29" i="12"/>
  <c r="U28" i="12"/>
  <c r="T28" i="12"/>
  <c r="T30" i="12" s="1"/>
  <c r="S28" i="12"/>
  <c r="R28" i="12"/>
  <c r="N28" i="12"/>
  <c r="N30" i="12" s="1"/>
  <c r="G28" i="12"/>
  <c r="B24" i="12"/>
  <c r="T19" i="12"/>
  <c r="S19" i="12"/>
  <c r="R19" i="12"/>
  <c r="N19" i="12"/>
  <c r="M19" i="12"/>
  <c r="G19" i="12"/>
  <c r="B19" i="12"/>
  <c r="O18" i="12"/>
  <c r="L18" i="12"/>
  <c r="U17" i="12"/>
  <c r="T17" i="12"/>
  <c r="S17" i="12"/>
  <c r="R17" i="12"/>
  <c r="O23" i="11"/>
  <c r="O22" i="11"/>
  <c r="O17" i="12"/>
  <c r="N17" i="12"/>
  <c r="M17" i="12"/>
  <c r="L17" i="12"/>
  <c r="G17" i="12"/>
  <c r="Q30" i="12"/>
  <c r="P30" i="12"/>
  <c r="O29" i="12"/>
  <c r="M30" i="12"/>
  <c r="B30" i="12"/>
  <c r="O28" i="12"/>
  <c r="O30" i="12" s="1"/>
  <c r="S10" i="12"/>
  <c r="Q10" i="12"/>
  <c r="P10" i="12"/>
  <c r="O10" i="12"/>
  <c r="N10" i="12"/>
  <c r="M10" i="12"/>
  <c r="K10" i="12"/>
  <c r="G10" i="12"/>
  <c r="T11" i="12"/>
  <c r="S11" i="12"/>
  <c r="R11" i="12"/>
  <c r="N11" i="12"/>
  <c r="M11" i="12"/>
  <c r="G11" i="12"/>
  <c r="S30" i="12" l="1"/>
  <c r="G30" i="12"/>
  <c r="U30" i="12" l="1"/>
  <c r="R30" i="12"/>
  <c r="T9" i="12" l="1"/>
  <c r="S9" i="12"/>
  <c r="R9" i="12"/>
  <c r="P9" i="12"/>
  <c r="N9" i="12"/>
  <c r="M9" i="12"/>
  <c r="G9" i="12"/>
  <c r="S8" i="12"/>
  <c r="T8" i="12"/>
  <c r="R8" i="12"/>
  <c r="B8" i="12"/>
  <c r="P8" i="12" s="1"/>
  <c r="S7" i="12"/>
  <c r="P7" i="12"/>
  <c r="N7" i="12"/>
  <c r="M7" i="12"/>
  <c r="K7" i="12"/>
  <c r="G7" i="12"/>
  <c r="S6" i="12" l="1"/>
  <c r="P6" i="12" l="1"/>
  <c r="N6" i="12"/>
  <c r="M6" i="12"/>
  <c r="G6" i="12"/>
  <c r="T5" i="12"/>
  <c r="S5" i="12"/>
  <c r="R5" i="12"/>
  <c r="B5" i="12"/>
  <c r="N5" i="12" l="1"/>
  <c r="P5" i="12"/>
  <c r="M5" i="12"/>
  <c r="G5" i="12"/>
  <c r="L17" i="14"/>
  <c r="L50" i="14" s="1"/>
  <c r="K17" i="14"/>
  <c r="K50" i="14" s="1"/>
  <c r="J17" i="14"/>
  <c r="J50" i="14" s="1"/>
  <c r="I17" i="14"/>
  <c r="I50" i="14" s="1"/>
  <c r="H17" i="14"/>
  <c r="H50" i="14" s="1"/>
  <c r="G17" i="14"/>
  <c r="G50" i="14" s="1"/>
  <c r="F17" i="14"/>
  <c r="F50" i="14" s="1"/>
  <c r="E17" i="14"/>
  <c r="E50" i="14" s="1"/>
  <c r="D17" i="14"/>
  <c r="D50" i="14" s="1"/>
  <c r="B17" i="14"/>
  <c r="B50" i="14" s="1"/>
  <c r="U42" i="11"/>
  <c r="S42" i="11"/>
  <c r="R42" i="11"/>
  <c r="T42" i="11"/>
  <c r="Q42" i="11"/>
  <c r="P42" i="11"/>
  <c r="O42" i="11"/>
  <c r="M42" i="11"/>
  <c r="L42" i="11"/>
  <c r="K42" i="11"/>
  <c r="G42" i="11"/>
  <c r="S41" i="11"/>
  <c r="U41" i="11"/>
  <c r="G41" i="11"/>
  <c r="O41" i="11"/>
  <c r="N41" i="11"/>
  <c r="M41" i="11"/>
  <c r="D38" i="11"/>
  <c r="D37" i="11"/>
  <c r="T33" i="11"/>
  <c r="S33" i="11"/>
  <c r="R33" i="11"/>
  <c r="Q33" i="11"/>
  <c r="P33" i="11"/>
  <c r="O33" i="11"/>
  <c r="N33" i="11"/>
  <c r="M33" i="11"/>
  <c r="B33" i="11"/>
  <c r="T31" i="11"/>
  <c r="T30" i="11"/>
  <c r="R30" i="11"/>
  <c r="N30" i="11"/>
  <c r="M30" i="11"/>
  <c r="M31" i="11" s="1"/>
  <c r="B30" i="11"/>
  <c r="O30" i="11"/>
  <c r="U29" i="11"/>
  <c r="T29" i="11"/>
  <c r="R29" i="11"/>
  <c r="N29" i="11"/>
  <c r="G29" i="11"/>
  <c r="T24" i="11"/>
  <c r="N24" i="11"/>
  <c r="G24" i="11"/>
  <c r="B24" i="11"/>
  <c r="K23" i="11"/>
  <c r="G23" i="11"/>
  <c r="L22" i="11"/>
  <c r="K22" i="11"/>
  <c r="T20" i="11"/>
  <c r="G20" i="11"/>
  <c r="S20" i="11"/>
  <c r="N20" i="11"/>
  <c r="B20" i="11"/>
  <c r="B25" i="11" s="1"/>
  <c r="P31" i="11"/>
  <c r="B31" i="11"/>
  <c r="O29" i="11"/>
  <c r="S15" i="11"/>
  <c r="K15" i="11"/>
  <c r="B15" i="11"/>
  <c r="M15" i="11" s="1"/>
  <c r="D35" i="11" l="1"/>
  <c r="S31" i="11"/>
  <c r="G31" i="11"/>
  <c r="N15" i="11"/>
  <c r="O15" i="11"/>
  <c r="R31" i="11"/>
  <c r="O31" i="11"/>
  <c r="R15" i="11"/>
  <c r="U30" i="11"/>
  <c r="N31" i="11"/>
  <c r="C17" i="14" l="1"/>
  <c r="C50" i="14" s="1"/>
  <c r="G33" i="11"/>
  <c r="U15" i="11"/>
  <c r="Q31" i="11"/>
  <c r="U31" i="11"/>
  <c r="L14" i="11" l="1"/>
  <c r="K14" i="11"/>
  <c r="B14" i="11"/>
  <c r="M14" i="11" s="1"/>
  <c r="N14" i="11" l="1"/>
  <c r="Q14" i="11" s="1"/>
  <c r="O14" i="11"/>
  <c r="R14" i="11"/>
  <c r="S14" i="11"/>
  <c r="G14" i="11"/>
  <c r="T14" i="11"/>
  <c r="P14" i="11"/>
  <c r="U14" i="11" l="1"/>
  <c r="T13" i="11" l="1"/>
  <c r="S13" i="11"/>
  <c r="R13" i="11"/>
  <c r="P13" i="11"/>
  <c r="N13" i="11"/>
  <c r="M13" i="11"/>
  <c r="L13" i="11"/>
  <c r="O13" i="11" s="1"/>
  <c r="K13" i="11"/>
  <c r="G13" i="11"/>
  <c r="T12" i="11"/>
  <c r="S12" i="11"/>
  <c r="R12" i="11"/>
  <c r="P12" i="11"/>
  <c r="N12" i="11"/>
  <c r="M12" i="11"/>
  <c r="L12" i="11"/>
  <c r="O12" i="11" s="1"/>
  <c r="G12" i="11"/>
  <c r="Q13" i="11" l="1"/>
  <c r="U13" i="11" s="1"/>
  <c r="S11" i="11" l="1"/>
  <c r="P11" i="11"/>
  <c r="G11" i="11"/>
  <c r="B10" i="11"/>
  <c r="S10" i="11"/>
  <c r="S9" i="11"/>
  <c r="P5" i="11"/>
  <c r="P6" i="11"/>
  <c r="P7" i="11"/>
  <c r="P8" i="11"/>
  <c r="P9" i="11"/>
  <c r="M9" i="11"/>
  <c r="K9" i="11"/>
  <c r="G9" i="11"/>
  <c r="S8" i="11"/>
  <c r="G8" i="11"/>
  <c r="T7" i="11"/>
  <c r="R7" i="11"/>
  <c r="M7" i="11"/>
  <c r="K7" i="11"/>
  <c r="G7" i="11"/>
  <c r="S6" i="11"/>
  <c r="N6" i="11"/>
  <c r="M6" i="11"/>
  <c r="K6" i="11"/>
  <c r="G6" i="11"/>
  <c r="T5" i="11"/>
  <c r="R5" i="11"/>
  <c r="N5" i="11"/>
  <c r="M5" i="11"/>
  <c r="K5" i="11"/>
  <c r="G5" i="11"/>
  <c r="T10" i="11" l="1"/>
  <c r="B16" i="11"/>
  <c r="G10" i="11"/>
  <c r="N10" i="11"/>
  <c r="P10" i="11"/>
  <c r="R10" i="11"/>
  <c r="F5" i="2" l="1"/>
  <c r="M5" i="2"/>
  <c r="N5" i="2"/>
  <c r="O5" i="2"/>
  <c r="Q5" i="2"/>
  <c r="R5" i="2"/>
  <c r="S5" i="2"/>
  <c r="F6" i="2"/>
  <c r="M6" i="2"/>
  <c r="N6" i="2"/>
  <c r="O6" i="2"/>
  <c r="Q6" i="2"/>
  <c r="R6" i="2"/>
  <c r="S6" i="2"/>
  <c r="F7" i="2"/>
  <c r="M7" i="2"/>
  <c r="N7" i="2"/>
  <c r="O7" i="2"/>
  <c r="Q7" i="2"/>
  <c r="R7" i="2"/>
  <c r="S7" i="2"/>
  <c r="F8" i="2"/>
  <c r="M8" i="2"/>
  <c r="N8" i="2"/>
  <c r="O8" i="2"/>
  <c r="Q8" i="2"/>
  <c r="R8" i="2"/>
  <c r="S8" i="2"/>
  <c r="F9" i="2"/>
  <c r="M9" i="2"/>
  <c r="N9" i="2"/>
  <c r="Q9" i="2"/>
  <c r="R9" i="2"/>
  <c r="S9" i="2"/>
  <c r="F10" i="2"/>
  <c r="M10" i="2"/>
  <c r="N10" i="2"/>
  <c r="O10" i="2"/>
  <c r="Q10" i="2"/>
  <c r="R10" i="2"/>
  <c r="S10" i="2"/>
  <c r="F11" i="2"/>
  <c r="M11" i="2"/>
  <c r="N11" i="2"/>
  <c r="O11" i="2"/>
  <c r="Q11" i="2"/>
  <c r="R11" i="2"/>
  <c r="S11" i="2"/>
  <c r="F12" i="2"/>
  <c r="M12" i="2"/>
  <c r="N12" i="2"/>
  <c r="O12" i="2"/>
  <c r="Q12" i="2"/>
  <c r="R12" i="2"/>
  <c r="S12" i="2"/>
  <c r="F13" i="2"/>
  <c r="M13" i="2"/>
  <c r="N13" i="2"/>
  <c r="Q13" i="2"/>
  <c r="R13" i="2"/>
  <c r="S13" i="2"/>
  <c r="F14" i="2"/>
  <c r="M14" i="2"/>
  <c r="N14" i="2"/>
  <c r="O14" i="2"/>
  <c r="Q14" i="2"/>
  <c r="R14" i="2"/>
  <c r="S14" i="2"/>
  <c r="F15" i="2"/>
  <c r="M15" i="2"/>
  <c r="N15" i="2"/>
  <c r="O15" i="2"/>
  <c r="Q15" i="2"/>
  <c r="R15" i="2"/>
  <c r="S15" i="2"/>
  <c r="F16" i="2"/>
  <c r="M16" i="2"/>
  <c r="N16" i="2"/>
  <c r="O16" i="2"/>
  <c r="Q16" i="2"/>
  <c r="R16" i="2"/>
  <c r="S16" i="2"/>
  <c r="F17" i="2"/>
  <c r="M17" i="2"/>
  <c r="N17" i="2"/>
  <c r="Q17" i="2"/>
  <c r="R17" i="2"/>
  <c r="S17" i="2"/>
  <c r="K5" i="12"/>
  <c r="O5" i="12"/>
  <c r="K6" i="12"/>
  <c r="O6" i="12"/>
  <c r="R6" i="12"/>
  <c r="T6" i="12"/>
  <c r="T12" i="12" s="1"/>
  <c r="O7" i="12"/>
  <c r="R7" i="12"/>
  <c r="R12" i="12" s="1"/>
  <c r="I28" i="14" s="1"/>
  <c r="T7" i="12"/>
  <c r="G8" i="12"/>
  <c r="G12" i="12" s="1"/>
  <c r="K8" i="12"/>
  <c r="M8" i="12"/>
  <c r="N8" i="12"/>
  <c r="O8" i="12"/>
  <c r="K9" i="12"/>
  <c r="O9" i="12"/>
  <c r="L10" i="12"/>
  <c r="P12" i="12"/>
  <c r="R10" i="12"/>
  <c r="S12" i="12"/>
  <c r="T10" i="12"/>
  <c r="O11" i="12"/>
  <c r="U11" i="12" s="1"/>
  <c r="B12" i="12"/>
  <c r="B28" i="14" s="1"/>
  <c r="G16" i="12"/>
  <c r="K16" i="12"/>
  <c r="N16" i="12"/>
  <c r="Q16" i="12" s="1"/>
  <c r="O16" i="12"/>
  <c r="R16" i="12"/>
  <c r="S16" i="12"/>
  <c r="T16" i="12"/>
  <c r="N18" i="12"/>
  <c r="Q18" i="12"/>
  <c r="R18" i="12"/>
  <c r="S18" i="12"/>
  <c r="T18" i="12"/>
  <c r="O19" i="12"/>
  <c r="G20" i="12"/>
  <c r="L20" i="12"/>
  <c r="N20" i="12"/>
  <c r="Q20" i="12" s="1"/>
  <c r="O20" i="12"/>
  <c r="R20" i="12"/>
  <c r="S20" i="12"/>
  <c r="T20" i="12"/>
  <c r="G21" i="12"/>
  <c r="Q21" i="12"/>
  <c r="N21" i="12"/>
  <c r="O21" i="12"/>
  <c r="R21" i="12"/>
  <c r="R24" i="12" s="1"/>
  <c r="I32" i="14" s="1"/>
  <c r="S21" i="12"/>
  <c r="T21" i="12"/>
  <c r="G22" i="12"/>
  <c r="N22" i="12"/>
  <c r="O22" i="12"/>
  <c r="R22" i="12"/>
  <c r="S22" i="12"/>
  <c r="T22" i="12"/>
  <c r="T24" i="12" s="1"/>
  <c r="K32" i="14" s="1"/>
  <c r="G23" i="12"/>
  <c r="N23" i="12"/>
  <c r="O23" i="12"/>
  <c r="Q23" i="12"/>
  <c r="R23" i="12"/>
  <c r="S23" i="12"/>
  <c r="T23" i="12"/>
  <c r="U23" i="12"/>
  <c r="B32" i="14"/>
  <c r="M24" i="12"/>
  <c r="P24" i="12"/>
  <c r="D36" i="12"/>
  <c r="O5" i="11"/>
  <c r="S5" i="11"/>
  <c r="S16" i="11" s="1"/>
  <c r="O6" i="11"/>
  <c r="N7" i="11"/>
  <c r="O7" i="11"/>
  <c r="S7" i="11"/>
  <c r="K8" i="11"/>
  <c r="M8" i="11"/>
  <c r="N8" i="11"/>
  <c r="O8" i="11"/>
  <c r="R8" i="11"/>
  <c r="T8" i="11"/>
  <c r="N9" i="11"/>
  <c r="O9" i="11"/>
  <c r="R9" i="11"/>
  <c r="T9" i="11"/>
  <c r="K10" i="11"/>
  <c r="M10" i="11"/>
  <c r="O10" i="11"/>
  <c r="K11" i="11"/>
  <c r="M11" i="11"/>
  <c r="N11" i="11"/>
  <c r="O11" i="11"/>
  <c r="R11" i="11"/>
  <c r="T11" i="11"/>
  <c r="K12" i="11"/>
  <c r="Q12" i="11" s="1"/>
  <c r="U12" i="11" s="1"/>
  <c r="P16" i="11"/>
  <c r="G15" i="11"/>
  <c r="G16" i="11" s="1"/>
  <c r="D36" i="11"/>
  <c r="O20" i="11"/>
  <c r="G21" i="11"/>
  <c r="N21" i="11"/>
  <c r="O21" i="11"/>
  <c r="R21" i="11"/>
  <c r="S21" i="11"/>
  <c r="T21" i="11"/>
  <c r="G22" i="11"/>
  <c r="N22" i="11"/>
  <c r="R22" i="11"/>
  <c r="S22" i="11"/>
  <c r="T22" i="11"/>
  <c r="L23" i="11"/>
  <c r="N23" i="11"/>
  <c r="R23" i="11"/>
  <c r="S23" i="11"/>
  <c r="T23" i="11"/>
  <c r="O24" i="11"/>
  <c r="B13" i="14"/>
  <c r="M25" i="11"/>
  <c r="P25" i="11"/>
  <c r="G13" i="14" s="1"/>
  <c r="L41" i="11"/>
  <c r="R44" i="11"/>
  <c r="I21" i="14" s="1"/>
  <c r="I54" i="14" s="1"/>
  <c r="T44" i="11"/>
  <c r="K21" i="14" s="1"/>
  <c r="K54" i="14" s="1"/>
  <c r="N44" i="11"/>
  <c r="E21" i="14" s="1"/>
  <c r="E54" i="14" s="1"/>
  <c r="O44" i="11"/>
  <c r="F21" i="14" s="1"/>
  <c r="F54" i="14" s="1"/>
  <c r="P44" i="11"/>
  <c r="G21" i="14" s="1"/>
  <c r="G54" i="14" s="1"/>
  <c r="Q44" i="11"/>
  <c r="H21" i="14" s="1"/>
  <c r="H54" i="14" s="1"/>
  <c r="D13" i="14"/>
  <c r="B21" i="14"/>
  <c r="B54" i="14" s="1"/>
  <c r="D32" i="14"/>
  <c r="G32" i="14"/>
  <c r="S24" i="12" l="1"/>
  <c r="J32" i="14" s="1"/>
  <c r="Q22" i="12"/>
  <c r="U22" i="12" s="1"/>
  <c r="O24" i="12"/>
  <c r="F32" i="14" s="1"/>
  <c r="U19" i="12"/>
  <c r="U18" i="12"/>
  <c r="G24" i="12"/>
  <c r="C32" i="14" s="1"/>
  <c r="U16" i="12"/>
  <c r="Q9" i="12"/>
  <c r="U9" i="12" s="1"/>
  <c r="G46" i="14"/>
  <c r="D46" i="14"/>
  <c r="K28" i="14"/>
  <c r="U21" i="12"/>
  <c r="U20" i="12"/>
  <c r="U10" i="12"/>
  <c r="N24" i="12"/>
  <c r="E32" i="14" s="1"/>
  <c r="Q5" i="12"/>
  <c r="U5" i="12" s="1"/>
  <c r="Q7" i="12"/>
  <c r="U7" i="12" s="1"/>
  <c r="N12" i="12"/>
  <c r="E28" i="14" s="1"/>
  <c r="M12" i="12"/>
  <c r="Q8" i="12"/>
  <c r="U8" i="12" s="1"/>
  <c r="Q6" i="12"/>
  <c r="D35" i="12"/>
  <c r="J28" i="14"/>
  <c r="O12" i="12"/>
  <c r="C28" i="14"/>
  <c r="G28" i="14"/>
  <c r="B46" i="14"/>
  <c r="G25" i="11"/>
  <c r="Q21" i="11"/>
  <c r="N25" i="11"/>
  <c r="M44" i="11"/>
  <c r="D21" i="14" s="1"/>
  <c r="D54" i="14" s="1"/>
  <c r="R24" i="11"/>
  <c r="U24" i="11"/>
  <c r="R20" i="11"/>
  <c r="R25" i="11" s="1"/>
  <c r="I13" i="14" s="1"/>
  <c r="I46" i="14" s="1"/>
  <c r="S25" i="11"/>
  <c r="C13" i="14"/>
  <c r="Q22" i="11"/>
  <c r="U22" i="11" s="1"/>
  <c r="J13" i="14"/>
  <c r="T25" i="11"/>
  <c r="K13" i="14" s="1"/>
  <c r="K46" i="14" s="1"/>
  <c r="S44" i="11"/>
  <c r="J21" i="14" s="1"/>
  <c r="J54" i="14" s="1"/>
  <c r="Q23" i="11"/>
  <c r="O25" i="11"/>
  <c r="F13" i="14" s="1"/>
  <c r="F46" i="14" s="1"/>
  <c r="U21" i="11"/>
  <c r="E13" i="14"/>
  <c r="G44" i="11"/>
  <c r="C21" i="14" s="1"/>
  <c r="C54" i="14" s="1"/>
  <c r="T16" i="11"/>
  <c r="K9" i="14" s="1"/>
  <c r="K42" i="14" s="1"/>
  <c r="R16" i="11"/>
  <c r="Q5" i="11"/>
  <c r="U5" i="11" s="1"/>
  <c r="Q8" i="11"/>
  <c r="U8" i="11" s="1"/>
  <c r="Q9" i="11"/>
  <c r="U9" i="11" s="1"/>
  <c r="Q7" i="11"/>
  <c r="U7" i="11" s="1"/>
  <c r="Q11" i="11"/>
  <c r="U11" i="11" s="1"/>
  <c r="Q6" i="11"/>
  <c r="U6" i="11"/>
  <c r="O16" i="11"/>
  <c r="F9" i="14" s="1"/>
  <c r="J9" i="14"/>
  <c r="B9" i="14"/>
  <c r="B42" i="14" s="1"/>
  <c r="N16" i="11"/>
  <c r="M16" i="11"/>
  <c r="Q10" i="11"/>
  <c r="U10" i="11" s="1"/>
  <c r="C9" i="14"/>
  <c r="G9" i="14"/>
  <c r="J46" i="14" l="1"/>
  <c r="C46" i="14"/>
  <c r="U24" i="12"/>
  <c r="L32" i="14" s="1"/>
  <c r="E46" i="14"/>
  <c r="Q24" i="12"/>
  <c r="H32" i="14" s="1"/>
  <c r="Q12" i="12"/>
  <c r="D28" i="14"/>
  <c r="H28" i="14"/>
  <c r="U6" i="12"/>
  <c r="U12" i="12" s="1"/>
  <c r="L28" i="14" s="1"/>
  <c r="J42" i="14"/>
  <c r="F28" i="14"/>
  <c r="F42" i="14" s="1"/>
  <c r="C42" i="14"/>
  <c r="G42" i="14"/>
  <c r="U44" i="11"/>
  <c r="L21" i="14" s="1"/>
  <c r="L54" i="14" s="1"/>
  <c r="U20" i="11"/>
  <c r="Q25" i="11"/>
  <c r="H13" i="14"/>
  <c r="U23" i="11"/>
  <c r="U25" i="11" s="1"/>
  <c r="L13" i="14" s="1"/>
  <c r="Q16" i="11"/>
  <c r="H9" i="14" s="1"/>
  <c r="I9" i="14"/>
  <c r="I42" i="14" s="1"/>
  <c r="U16" i="11"/>
  <c r="U33" i="11" s="1"/>
  <c r="E9" i="14"/>
  <c r="E42" i="14" s="1"/>
  <c r="D9" i="14"/>
  <c r="D42" i="14" s="1"/>
  <c r="L46" i="14" l="1"/>
  <c r="H46" i="14"/>
  <c r="H42" i="14"/>
  <c r="L9" i="14"/>
  <c r="L42" i="14" s="1"/>
</calcChain>
</file>

<file path=xl/sharedStrings.xml><?xml version="1.0" encoding="utf-8"?>
<sst xmlns="http://schemas.openxmlformats.org/spreadsheetml/2006/main" count="557" uniqueCount="179">
  <si>
    <t>Údaje o stavbe</t>
  </si>
  <si>
    <t>Označ.</t>
  </si>
  <si>
    <t>trubný materiál</t>
  </si>
  <si>
    <t>povrch</t>
  </si>
  <si>
    <t>prípojky (ks)</t>
  </si>
  <si>
    <t>odbočky (DN)</t>
  </si>
  <si>
    <t>výška obsypu (m)</t>
  </si>
  <si>
    <t>Pažení (m2)</t>
  </si>
  <si>
    <t>Vytlač.kubatúra (m3)</t>
  </si>
  <si>
    <t>Obetón.spojov 0,1m3/m</t>
  </si>
  <si>
    <t>Obsyp štrkom (m3)</t>
  </si>
  <si>
    <t>Zásyp zeminou</t>
  </si>
  <si>
    <t>Vytl.kub/m</t>
  </si>
  <si>
    <t>Odvoz zeminy</t>
  </si>
  <si>
    <t>komunikace</t>
  </si>
  <si>
    <r>
      <t>Podkl.</t>
    </r>
    <r>
      <rPr>
        <b/>
        <sz val="9"/>
        <rFont val="Arial CE"/>
        <family val="2"/>
        <charset val="238"/>
      </rPr>
      <t>štrk 10 cm</t>
    </r>
  </si>
  <si>
    <t>A1</t>
  </si>
  <si>
    <t>E1</t>
  </si>
  <si>
    <t>louka</t>
  </si>
  <si>
    <t>Výpočet zemních prací - Jarov</t>
  </si>
  <si>
    <t>A6x</t>
  </si>
  <si>
    <t>A6y</t>
  </si>
  <si>
    <t>A6z</t>
  </si>
  <si>
    <t>A6c</t>
  </si>
  <si>
    <t>A6d</t>
  </si>
  <si>
    <t>A6e</t>
  </si>
  <si>
    <t>E2</t>
  </si>
  <si>
    <t>E3</t>
  </si>
  <si>
    <t>délka potr.(m)</t>
  </si>
  <si>
    <t>pr.hloubka (m)</t>
  </si>
  <si>
    <t>pr.šířka (m)</t>
  </si>
  <si>
    <t>kubatura výkopu m3</t>
  </si>
  <si>
    <t>Revizní  šachty DN425</t>
  </si>
  <si>
    <t>trubní materiál</t>
  </si>
  <si>
    <t>revizní šachty</t>
  </si>
  <si>
    <t>vytl.kub/m</t>
  </si>
  <si>
    <t>pažení (m2)</t>
  </si>
  <si>
    <t xml:space="preserve">Drenáž </t>
  </si>
  <si>
    <t>PEHD DN160 flexibilní</t>
  </si>
  <si>
    <t>Geotextilie (m2)</t>
  </si>
  <si>
    <t>Obsyp štěrkem frakce 4-8 mm (m3)</t>
  </si>
  <si>
    <t>průměr potrubí (mm)</t>
  </si>
  <si>
    <t>Dosyp štěrkopískem</t>
  </si>
  <si>
    <t>Dosyp kamennou drtí</t>
  </si>
  <si>
    <t>2x DN425</t>
  </si>
  <si>
    <t>vytlač. kubatura (m3)</t>
  </si>
  <si>
    <t>PEHD DN200 perf. 220°</t>
  </si>
  <si>
    <t>1x DN425</t>
  </si>
  <si>
    <t>1x DN1000</t>
  </si>
  <si>
    <t>Celkem</t>
  </si>
  <si>
    <t>podkl.štěrk 10 cm</t>
  </si>
  <si>
    <t>Dešťová kanalizace</t>
  </si>
  <si>
    <t>PVC DN300</t>
  </si>
  <si>
    <t>PVC DN250</t>
  </si>
  <si>
    <t>PVC DN200</t>
  </si>
  <si>
    <t>PVC DN150</t>
  </si>
  <si>
    <t>1x DN600</t>
  </si>
  <si>
    <t>skutečná délka výkopů</t>
  </si>
  <si>
    <t>drény</t>
  </si>
  <si>
    <t>kanalizace</t>
  </si>
  <si>
    <t>m</t>
  </si>
  <si>
    <t>SD-NC-06</t>
  </si>
  <si>
    <t>SD-NC-07</t>
  </si>
  <si>
    <t>SD-NC-08</t>
  </si>
  <si>
    <t>SD-NC-09</t>
  </si>
  <si>
    <t>SV-NC-02</t>
  </si>
  <si>
    <t>OD-NC-01</t>
  </si>
  <si>
    <t>DK-NC-07</t>
  </si>
  <si>
    <t>DK-NC-08</t>
  </si>
  <si>
    <t>DK-NC-06</t>
  </si>
  <si>
    <t xml:space="preserve">dešť vpusť </t>
  </si>
  <si>
    <t>asfalt 0,15 mocný</t>
  </si>
  <si>
    <t>SV-NC-03</t>
  </si>
  <si>
    <t>PEHD DN300 perf. 120°</t>
  </si>
  <si>
    <t>PVC DN500 neperf.</t>
  </si>
  <si>
    <t xml:space="preserve">3xdešť vpusť </t>
  </si>
  <si>
    <t>DN150 45°</t>
  </si>
  <si>
    <t>1xdešť vpusť + 1x DN600</t>
  </si>
  <si>
    <t xml:space="preserve">asfalt 0,15 m mocný </t>
  </si>
  <si>
    <t>ve výkopu drénu SD-NC-07</t>
  </si>
  <si>
    <t xml:space="preserve">asfalt 0,2 m mocný </t>
  </si>
  <si>
    <t>ve výkopu drénu OD-NC-01</t>
  </si>
  <si>
    <t>Výpočet zemních prací - veřejné pohřebiště Milevsko - nový hřbitov - centrum</t>
  </si>
  <si>
    <t>Výpočet zemních prací - veřejné pohřebiště Milevsko - nový hřbitov - jih</t>
  </si>
  <si>
    <t>Akumulační nádrž</t>
  </si>
  <si>
    <t>akumulační nádž spodní část</t>
  </si>
  <si>
    <t>akumulační nádž svrchní část</t>
  </si>
  <si>
    <t>výplň</t>
  </si>
  <si>
    <t>akumulační nádrž 10 m3</t>
  </si>
  <si>
    <t>vyústění šachta DN 1000</t>
  </si>
  <si>
    <t>obetonováno</t>
  </si>
  <si>
    <t xml:space="preserve"> 1x DN1000</t>
  </si>
  <si>
    <t>obetonování m3</t>
  </si>
  <si>
    <t>doplňky</t>
  </si>
  <si>
    <t>železobeton. deska</t>
  </si>
  <si>
    <t>perforovaná odčerpávací trubka</t>
  </si>
  <si>
    <t>SD-NJ-11</t>
  </si>
  <si>
    <t>SD-NJ-12</t>
  </si>
  <si>
    <t>SD-NJ-13</t>
  </si>
  <si>
    <t>SD-NJ-14</t>
  </si>
  <si>
    <t>SD-NJ-15</t>
  </si>
  <si>
    <t>SV-NJ-04</t>
  </si>
  <si>
    <t>PP-NJ-01</t>
  </si>
  <si>
    <t>přečerpávací potrubí částečně vedeno drény SD-NJ-13 a SV-NC-03</t>
  </si>
  <si>
    <t>DK-NJ-09</t>
  </si>
  <si>
    <t>DK-NJ-10</t>
  </si>
  <si>
    <t>Celkem NC</t>
  </si>
  <si>
    <t>Celkem akumulační nádrž</t>
  </si>
  <si>
    <t>DK-NJ-11</t>
  </si>
  <si>
    <t>DK-NJ-12</t>
  </si>
  <si>
    <t>DK-NJ-13</t>
  </si>
  <si>
    <t>PEHD 110 mm</t>
  </si>
  <si>
    <t>ve výkopu drénu SD-NJ-11</t>
  </si>
  <si>
    <t>ve výkopu drénu SV-NJ-04</t>
  </si>
  <si>
    <t>ve výkopu drénu SD-NJ-13</t>
  </si>
  <si>
    <t>ve výkopu drénu SD-NJ-14</t>
  </si>
  <si>
    <t>ve výkopu drénu SD-NJ-15</t>
  </si>
  <si>
    <t>1x DN600 s vpustí</t>
  </si>
  <si>
    <t xml:space="preserve">1x DN600 </t>
  </si>
  <si>
    <t>Celkem NJ</t>
  </si>
  <si>
    <t>Nový hřbitov - centrum</t>
  </si>
  <si>
    <t>Nový hřbitov - jih</t>
  </si>
  <si>
    <t>délka výkop.(m)</t>
  </si>
  <si>
    <t>Celkem drenáže</t>
  </si>
  <si>
    <t>Celkem akumulační nádrže</t>
  </si>
  <si>
    <t>Celkem kanalizace</t>
  </si>
  <si>
    <t>Skutečná délka výkopů:</t>
  </si>
  <si>
    <t>OP-NC-01</t>
  </si>
  <si>
    <t>SD-NC-03</t>
  </si>
  <si>
    <t>SD-NC-04</t>
  </si>
  <si>
    <t>SD-NC-05</t>
  </si>
  <si>
    <t>asfalt 0,2 m mocný</t>
  </si>
  <si>
    <t>vyústění+ klapa</t>
  </si>
  <si>
    <t>asfalt 0,15 m mocný + zámková dlažba</t>
  </si>
  <si>
    <t>2xdešť vpusť + 1x DN600</t>
  </si>
  <si>
    <t>4xdešť vpusť + 1x DN600</t>
  </si>
  <si>
    <t xml:space="preserve">asfalt 0,20 m mocný </t>
  </si>
  <si>
    <t>asfalt 0,2 m</t>
  </si>
  <si>
    <t xml:space="preserve"> + protlak DN 200 5 m</t>
  </si>
  <si>
    <t>37,8 m asfalt 0,15 mocný + 10,5 m travní porost + 7,0 m asfalt 0,2 mocný</t>
  </si>
  <si>
    <t>4xDN300 15°</t>
  </si>
  <si>
    <t>v komunikaci obetonováno 15 m</t>
  </si>
  <si>
    <t>Rozvod zálivkové vody</t>
  </si>
  <si>
    <t xml:space="preserve">asfalt 0,15 až 0,2 m mocný </t>
  </si>
  <si>
    <t>ve výkopu SV-NC-02 + 7,3 m samostatný výkop</t>
  </si>
  <si>
    <t>DN150 45°+ 15°</t>
  </si>
  <si>
    <t>DN150 45°+15°</t>
  </si>
  <si>
    <t>2x DN600</t>
  </si>
  <si>
    <t>ve výkopu drénu SV-NC-03+12,5 v samostatných výkopech</t>
  </si>
  <si>
    <t>VĚTEV A</t>
  </si>
  <si>
    <t>VĚTEV D</t>
  </si>
  <si>
    <t>ve výkopu drénu SV-NC-02 +SV-NC-04 + 1,5 m samostatný výkop</t>
  </si>
  <si>
    <t>1x stojan</t>
  </si>
  <si>
    <t>ve výkopu přečerpávacího potrubí + SD-NJ-12 + SD-NJ-13 + 4,2 samostatný výkop</t>
  </si>
  <si>
    <t>vodovod</t>
  </si>
  <si>
    <t xml:space="preserve"> 1x DN200</t>
  </si>
  <si>
    <t xml:space="preserve"> + protlak DN 200 5,0 m</t>
  </si>
  <si>
    <t>25,2 m travní porost + 42,4 m asfalt 0,15 m mocný</t>
  </si>
  <si>
    <t>26,0 m travní porost + 43,1 m asfalt 0,15 m mocný</t>
  </si>
  <si>
    <t>25,4 m travní porost + 68,3 m asfalt 0,15 m mocný</t>
  </si>
  <si>
    <t>HDPE 32 mm</t>
  </si>
  <si>
    <t>3* HDPE 45°</t>
  </si>
  <si>
    <t>částečně ve výkopu drénu SV-NJ-04 + samostatně 14,8 m</t>
  </si>
  <si>
    <t>samostatné výkopy napojení vpustí 8,5 m</t>
  </si>
  <si>
    <t>VĚTEV B</t>
  </si>
  <si>
    <t>VĚTEV C</t>
  </si>
  <si>
    <t>ve výkopu drénu SV-NJ-11 + 1,6 m samostatný výkop</t>
  </si>
  <si>
    <t xml:space="preserve">rozbočka </t>
  </si>
  <si>
    <t>asfalt 0,15 m mocný</t>
  </si>
  <si>
    <t>ve  SD-NJ-14 + SV-NJ-0,4 + 1,4 samostatný výkop</t>
  </si>
  <si>
    <t>rozbočka +stojan</t>
  </si>
  <si>
    <t>rozbočka + ventil 1" + stojan</t>
  </si>
  <si>
    <t>Celkem rozvod zálivkové vody</t>
  </si>
  <si>
    <t>travní porost + 3,5 m asfalt</t>
  </si>
  <si>
    <t xml:space="preserve"> zámková dlažba+3,5 m asfalt</t>
  </si>
  <si>
    <t>travní porost +3,5 m asfalt 0,15 m mocný</t>
  </si>
  <si>
    <t>3,5 m asfalt 0,2 m mocný + zámková dlažba</t>
  </si>
  <si>
    <t>travní porost + 2 m asfalt 0,15 m mocný</t>
  </si>
  <si>
    <t>34,8 m asfalt 0,15 m + 6,0 m asfalt 0,2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</si>
</sst>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i/>
      <sz val="9"/>
      <name val="Arial CE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4" fontId="1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 wrapText="1"/>
    </xf>
    <xf numFmtId="2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/>
    <xf numFmtId="0" fontId="2" fillId="0" borderId="5" xfId="0" applyFont="1" applyBorder="1"/>
    <xf numFmtId="164" fontId="2" fillId="0" borderId="5" xfId="0" applyNumberFormat="1" applyFont="1" applyBorder="1"/>
    <xf numFmtId="2" fontId="2" fillId="0" borderId="5" xfId="0" applyNumberFormat="1" applyFont="1" applyBorder="1"/>
    <xf numFmtId="4" fontId="2" fillId="0" borderId="5" xfId="0" applyNumberFormat="1" applyFont="1" applyBorder="1"/>
    <xf numFmtId="2" fontId="2" fillId="0" borderId="6" xfId="0" applyNumberFormat="1" applyFont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0" applyNumberFormat="1" applyFont="1" applyBorder="1"/>
    <xf numFmtId="2" fontId="2" fillId="0" borderId="8" xfId="0" applyNumberFormat="1" applyFont="1" applyBorder="1"/>
    <xf numFmtId="4" fontId="2" fillId="0" borderId="8" xfId="0" applyNumberFormat="1" applyFont="1" applyBorder="1"/>
    <xf numFmtId="2" fontId="2" fillId="0" borderId="9" xfId="0" applyNumberFormat="1" applyFont="1" applyBorder="1"/>
    <xf numFmtId="4" fontId="2" fillId="0" borderId="0" xfId="0" applyNumberFormat="1" applyFont="1"/>
    <xf numFmtId="4" fontId="2" fillId="0" borderId="0" xfId="0" applyNumberFormat="1" applyFont="1" applyAlignment="1">
      <alignment vertical="center" wrapText="1"/>
    </xf>
    <xf numFmtId="0" fontId="2" fillId="0" borderId="0" xfId="0" applyFont="1" applyBorder="1"/>
    <xf numFmtId="0" fontId="0" fillId="0" borderId="0" xfId="0" applyBorder="1"/>
    <xf numFmtId="0" fontId="4" fillId="0" borderId="0" xfId="0" applyFont="1"/>
    <xf numFmtId="0" fontId="2" fillId="0" borderId="10" xfId="0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2" fontId="3" fillId="0" borderId="0" xfId="0" applyNumberFormat="1" applyFont="1" applyBorder="1"/>
    <xf numFmtId="4" fontId="2" fillId="0" borderId="0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2" fontId="1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2" fillId="0" borderId="11" xfId="0" applyFont="1" applyBorder="1"/>
    <xf numFmtId="0" fontId="0" fillId="0" borderId="0" xfId="0" applyBorder="1" applyAlignment="1">
      <alignment vertical="center" wrapText="1"/>
    </xf>
    <xf numFmtId="0" fontId="5" fillId="0" borderId="4" xfId="0" applyFont="1" applyBorder="1"/>
    <xf numFmtId="0" fontId="5" fillId="0" borderId="5" xfId="0" applyFont="1" applyBorder="1"/>
    <xf numFmtId="164" fontId="5" fillId="0" borderId="5" xfId="0" applyNumberFormat="1" applyFont="1" applyBorder="1"/>
    <xf numFmtId="2" fontId="5" fillId="0" borderId="5" xfId="0" applyNumberFormat="1" applyFont="1" applyBorder="1"/>
    <xf numFmtId="4" fontId="5" fillId="0" borderId="5" xfId="0" applyNumberFormat="1" applyFont="1" applyBorder="1"/>
    <xf numFmtId="2" fontId="5" fillId="0" borderId="6" xfId="0" applyNumberFormat="1" applyFont="1" applyBorder="1"/>
    <xf numFmtId="4" fontId="5" fillId="0" borderId="0" xfId="0" applyNumberFormat="1" applyFont="1" applyBorder="1"/>
    <xf numFmtId="0" fontId="6" fillId="0" borderId="0" xfId="0" applyFont="1" applyBorder="1"/>
    <xf numFmtId="0" fontId="6" fillId="0" borderId="0" xfId="0" applyFont="1"/>
    <xf numFmtId="0" fontId="2" fillId="0" borderId="5" xfId="0" applyFont="1" applyBorder="1" applyAlignment="1">
      <alignment wrapText="1"/>
    </xf>
    <xf numFmtId="4" fontId="5" fillId="0" borderId="0" xfId="0" applyNumberFormat="1" applyFont="1"/>
    <xf numFmtId="0" fontId="2" fillId="0" borderId="12" xfId="0" applyFont="1" applyBorder="1"/>
    <xf numFmtId="0" fontId="2" fillId="0" borderId="13" xfId="0" applyFont="1" applyBorder="1"/>
    <xf numFmtId="164" fontId="2" fillId="0" borderId="13" xfId="0" applyNumberFormat="1" applyFont="1" applyBorder="1"/>
    <xf numFmtId="2" fontId="2" fillId="0" borderId="13" xfId="0" applyNumberFormat="1" applyFont="1" applyBorder="1"/>
    <xf numFmtId="4" fontId="2" fillId="0" borderId="13" xfId="0" applyNumberFormat="1" applyFont="1" applyBorder="1"/>
    <xf numFmtId="2" fontId="2" fillId="0" borderId="14" xfId="0" applyNumberFormat="1" applyFont="1" applyBorder="1"/>
    <xf numFmtId="0" fontId="5" fillId="0" borderId="15" xfId="0" applyFont="1" applyBorder="1"/>
    <xf numFmtId="0" fontId="5" fillId="0" borderId="16" xfId="0" applyFont="1" applyBorder="1"/>
    <xf numFmtId="164" fontId="5" fillId="0" borderId="16" xfId="0" applyNumberFormat="1" applyFont="1" applyBorder="1"/>
    <xf numFmtId="2" fontId="5" fillId="0" borderId="16" xfId="0" applyNumberFormat="1" applyFont="1" applyBorder="1"/>
    <xf numFmtId="4" fontId="5" fillId="0" borderId="16" xfId="0" applyNumberFormat="1" applyFont="1" applyBorder="1"/>
    <xf numFmtId="2" fontId="5" fillId="0" borderId="17" xfId="0" applyNumberFormat="1" applyFont="1" applyBorder="1"/>
    <xf numFmtId="0" fontId="2" fillId="0" borderId="18" xfId="0" applyFont="1" applyBorder="1"/>
    <xf numFmtId="0" fontId="2" fillId="0" borderId="19" xfId="0" applyFont="1" applyBorder="1"/>
    <xf numFmtId="164" fontId="2" fillId="0" borderId="19" xfId="0" applyNumberFormat="1" applyFont="1" applyBorder="1"/>
    <xf numFmtId="2" fontId="2" fillId="0" borderId="19" xfId="0" applyNumberFormat="1" applyFont="1" applyBorder="1"/>
    <xf numFmtId="4" fontId="2" fillId="0" borderId="19" xfId="0" applyNumberFormat="1" applyFont="1" applyBorder="1"/>
    <xf numFmtId="2" fontId="2" fillId="0" borderId="20" xfId="0" applyNumberFormat="1" applyFont="1" applyBorder="1"/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164" fontId="7" fillId="0" borderId="22" xfId="0" applyNumberFormat="1" applyFont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wrapText="1"/>
    </xf>
    <xf numFmtId="0" fontId="2" fillId="0" borderId="21" xfId="0" applyFont="1" applyBorder="1"/>
    <xf numFmtId="0" fontId="5" fillId="0" borderId="22" xfId="0" applyFont="1" applyBorder="1"/>
    <xf numFmtId="0" fontId="2" fillId="0" borderId="22" xfId="0" applyFont="1" applyBorder="1"/>
    <xf numFmtId="164" fontId="5" fillId="0" borderId="22" xfId="0" applyNumberFormat="1" applyFont="1" applyBorder="1"/>
    <xf numFmtId="164" fontId="5" fillId="0" borderId="23" xfId="0" applyNumberFormat="1" applyFont="1" applyBorder="1"/>
    <xf numFmtId="164" fontId="2" fillId="0" borderId="10" xfId="0" applyNumberFormat="1" applyFont="1" applyBorder="1"/>
    <xf numFmtId="2" fontId="2" fillId="0" borderId="10" xfId="0" applyNumberFormat="1" applyFont="1" applyBorder="1"/>
    <xf numFmtId="4" fontId="2" fillId="0" borderId="10" xfId="0" applyNumberFormat="1" applyFont="1" applyBorder="1"/>
    <xf numFmtId="165" fontId="2" fillId="0" borderId="13" xfId="0" applyNumberFormat="1" applyFont="1" applyBorder="1"/>
    <xf numFmtId="0" fontId="2" fillId="0" borderId="13" xfId="0" applyFont="1" applyBorder="1" applyAlignment="1">
      <alignment wrapText="1"/>
    </xf>
    <xf numFmtId="0" fontId="0" fillId="0" borderId="2" xfId="0" applyBorder="1"/>
    <xf numFmtId="0" fontId="2" fillId="0" borderId="24" xfId="0" applyFont="1" applyBorder="1"/>
    <xf numFmtId="0" fontId="2" fillId="0" borderId="18" xfId="0" applyFont="1" applyBorder="1" applyAlignment="1">
      <alignment wrapText="1"/>
    </xf>
    <xf numFmtId="0" fontId="0" fillId="0" borderId="5" xfId="0" applyBorder="1" applyAlignment="1">
      <alignment wrapText="1"/>
    </xf>
    <xf numFmtId="0" fontId="2" fillId="0" borderId="13" xfId="0" applyFont="1" applyFill="1" applyBorder="1"/>
    <xf numFmtId="0" fontId="2" fillId="0" borderId="5" xfId="0" applyFont="1" applyFill="1" applyBorder="1"/>
    <xf numFmtId="0" fontId="2" fillId="0" borderId="25" xfId="0" applyFont="1" applyBorder="1"/>
    <xf numFmtId="0" fontId="2" fillId="0" borderId="2" xfId="0" applyFont="1" applyBorder="1" applyAlignment="1">
      <alignment wrapText="1"/>
    </xf>
    <xf numFmtId="0" fontId="2" fillId="0" borderId="25" xfId="0" applyFont="1" applyBorder="1" applyAlignment="1">
      <alignment wrapText="1"/>
    </xf>
    <xf numFmtId="0" fontId="8" fillId="0" borderId="0" xfId="0" applyFont="1"/>
    <xf numFmtId="0" fontId="5" fillId="0" borderId="0" xfId="0" applyFont="1" applyBorder="1"/>
    <xf numFmtId="0" fontId="0" fillId="0" borderId="2" xfId="0" applyBorder="1" applyAlignment="1">
      <alignment wrapText="1"/>
    </xf>
    <xf numFmtId="2" fontId="2" fillId="0" borderId="19" xfId="0" applyNumberFormat="1" applyFont="1" applyFill="1" applyBorder="1"/>
    <xf numFmtId="2" fontId="5" fillId="0" borderId="16" xfId="0" applyNumberFormat="1" applyFont="1" applyFill="1" applyBorder="1"/>
    <xf numFmtId="2" fontId="2" fillId="0" borderId="5" xfId="0" applyNumberFormat="1" applyFont="1" applyFill="1" applyBorder="1"/>
    <xf numFmtId="2" fontId="2" fillId="0" borderId="13" xfId="0" applyNumberFormat="1" applyFont="1" applyFill="1" applyBorder="1"/>
    <xf numFmtId="2" fontId="2" fillId="0" borderId="0" xfId="0" applyNumberFormat="1" applyFont="1" applyFill="1" applyBorder="1"/>
    <xf numFmtId="2" fontId="1" fillId="0" borderId="0" xfId="0" applyNumberFormat="1" applyFont="1" applyFill="1"/>
    <xf numFmtId="2" fontId="7" fillId="0" borderId="22" xfId="0" applyNumberFormat="1" applyFont="1" applyFill="1" applyBorder="1" applyAlignment="1">
      <alignment horizontal="center" vertical="center" wrapText="1"/>
    </xf>
    <xf numFmtId="164" fontId="5" fillId="0" borderId="22" xfId="0" applyNumberFormat="1" applyFont="1" applyFill="1" applyBorder="1"/>
    <xf numFmtId="0" fontId="2" fillId="0" borderId="19" xfId="0" applyFont="1" applyFill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57"/>
  <sheetViews>
    <sheetView tabSelected="1" zoomScale="85" zoomScaleNormal="85" workbookViewId="0"/>
  </sheetViews>
  <sheetFormatPr defaultRowHeight="12.75" x14ac:dyDescent="0.2"/>
  <cols>
    <col min="1" max="1" width="12.28515625" customWidth="1"/>
    <col min="2" max="2" width="13.140625" customWidth="1"/>
    <col min="3" max="3" width="18.140625" bestFit="1" customWidth="1"/>
    <col min="4" max="4" width="11" customWidth="1"/>
    <col min="5" max="5" width="15.42578125" customWidth="1"/>
    <col min="6" max="6" width="17.5703125" customWidth="1"/>
    <col min="7" max="7" width="14.7109375" customWidth="1"/>
    <col min="8" max="8" width="29.140625" customWidth="1"/>
    <col min="9" max="9" width="18.42578125" customWidth="1"/>
    <col min="10" max="10" width="19" customWidth="1"/>
    <col min="11" max="11" width="13.85546875" customWidth="1"/>
    <col min="12" max="12" width="12.7109375" customWidth="1"/>
  </cols>
  <sheetData>
    <row r="3" spans="1:14" x14ac:dyDescent="0.2">
      <c r="A3" s="29"/>
      <c r="B3" s="29"/>
      <c r="C3" s="33"/>
      <c r="D3" s="34"/>
      <c r="E3" s="34"/>
      <c r="F3" s="36"/>
      <c r="G3" s="34"/>
      <c r="H3" s="34"/>
      <c r="I3" s="34"/>
      <c r="J3" s="34"/>
      <c r="K3" s="36"/>
      <c r="L3" s="34"/>
      <c r="M3" s="27"/>
      <c r="N3" s="27"/>
    </row>
    <row r="5" spans="1:14" x14ac:dyDescent="0.2">
      <c r="A5" s="103" t="s">
        <v>120</v>
      </c>
    </row>
    <row r="7" spans="1:14" ht="13.5" thickBot="1" x14ac:dyDescent="0.25">
      <c r="A7" s="5" t="s">
        <v>37</v>
      </c>
      <c r="B7" s="5"/>
      <c r="C7" s="6"/>
      <c r="D7" s="7"/>
      <c r="E7" s="7"/>
      <c r="F7" s="8"/>
      <c r="G7" s="7"/>
      <c r="H7" s="7"/>
      <c r="I7" s="7"/>
      <c r="J7" s="7"/>
      <c r="K7" s="5"/>
      <c r="L7" s="5"/>
      <c r="M7" s="27"/>
      <c r="N7" s="27"/>
    </row>
    <row r="8" spans="1:14" s="1" customFormat="1" ht="24.75" thickBot="1" x14ac:dyDescent="0.25">
      <c r="A8" s="76" t="s">
        <v>1</v>
      </c>
      <c r="B8" s="77" t="s">
        <v>28</v>
      </c>
      <c r="C8" s="78" t="s">
        <v>31</v>
      </c>
      <c r="D8" s="80" t="s">
        <v>36</v>
      </c>
      <c r="E8" s="80" t="s">
        <v>50</v>
      </c>
      <c r="F8" s="81" t="s">
        <v>45</v>
      </c>
      <c r="G8" s="80" t="s">
        <v>39</v>
      </c>
      <c r="H8" s="80" t="s">
        <v>40</v>
      </c>
      <c r="I8" s="80" t="s">
        <v>42</v>
      </c>
      <c r="J8" s="80" t="s">
        <v>43</v>
      </c>
      <c r="K8" s="77" t="s">
        <v>11</v>
      </c>
      <c r="L8" s="82" t="s">
        <v>13</v>
      </c>
      <c r="M8" s="28"/>
      <c r="N8" s="28"/>
    </row>
    <row r="9" spans="1:14" s="55" customFormat="1" ht="13.5" thickBot="1" x14ac:dyDescent="0.25">
      <c r="A9" s="64" t="s">
        <v>49</v>
      </c>
      <c r="B9" s="65">
        <f>'Nový hřbitov-centrum'!B16</f>
        <v>386.3</v>
      </c>
      <c r="C9" s="65">
        <f>'Nový hřbitov-centrum'!G16</f>
        <v>812.83799999999997</v>
      </c>
      <c r="D9" s="65">
        <f>'Nový hřbitov-centrum'!M16</f>
        <v>1429.1775000000002</v>
      </c>
      <c r="E9" s="65">
        <f>'Nový hřbitov-centrum'!N16</f>
        <v>33.348000000000006</v>
      </c>
      <c r="F9" s="65">
        <f>'Nový hřbitov-centrum'!O16</f>
        <v>16.143073850471154</v>
      </c>
      <c r="G9" s="65">
        <f>'Nový hřbitov-centrum'!P16</f>
        <v>2921.7210000000005</v>
      </c>
      <c r="H9" s="65">
        <f>'Nový hřbitov-centrum'!Q16</f>
        <v>574.7646047578512</v>
      </c>
      <c r="I9" s="65">
        <f>'Nový hřbitov-centrum'!R16</f>
        <v>90.569564504418196</v>
      </c>
      <c r="J9" s="65">
        <f>'Nový hřbitov-centrum'!S16</f>
        <v>79.498000000000019</v>
      </c>
      <c r="K9" s="65">
        <f>'Nový hřbitov-centrum'!T16</f>
        <v>30.588999999999999</v>
      </c>
      <c r="L9" s="65">
        <f>'Nový hřbitov-centrum'!U16</f>
        <v>803.37799999999993</v>
      </c>
      <c r="M9" s="57"/>
      <c r="N9" s="57"/>
    </row>
    <row r="10" spans="1:14" x14ac:dyDescent="0.2">
      <c r="A10" s="29"/>
      <c r="B10" s="29"/>
      <c r="C10" s="33"/>
      <c r="D10" s="34"/>
      <c r="E10" s="35"/>
      <c r="F10" s="36"/>
      <c r="G10" s="34"/>
      <c r="H10" s="34"/>
      <c r="I10" s="34"/>
      <c r="J10" s="34"/>
      <c r="K10" s="36"/>
      <c r="L10" s="34"/>
      <c r="M10" s="27"/>
      <c r="N10" s="27"/>
    </row>
    <row r="11" spans="1:14" ht="13.5" thickBot="1" x14ac:dyDescent="0.25">
      <c r="A11" s="5" t="s">
        <v>51</v>
      </c>
      <c r="B11" s="5"/>
      <c r="C11" s="6"/>
      <c r="D11" s="7"/>
      <c r="E11" s="7"/>
      <c r="F11" s="8"/>
      <c r="G11" s="7"/>
      <c r="H11" s="7"/>
      <c r="I11" s="7"/>
      <c r="J11" s="7"/>
      <c r="K11" s="5"/>
      <c r="L11" s="5"/>
      <c r="M11" s="27"/>
      <c r="N11" s="27"/>
    </row>
    <row r="12" spans="1:14" ht="24.75" thickBot="1" x14ac:dyDescent="0.25">
      <c r="A12" s="76" t="s">
        <v>1</v>
      </c>
      <c r="B12" s="77" t="s">
        <v>28</v>
      </c>
      <c r="C12" s="78" t="s">
        <v>31</v>
      </c>
      <c r="D12" s="80" t="s">
        <v>36</v>
      </c>
      <c r="E12" s="80" t="s">
        <v>50</v>
      </c>
      <c r="F12" s="81" t="s">
        <v>45</v>
      </c>
      <c r="G12" s="80" t="s">
        <v>39</v>
      </c>
      <c r="H12" s="80" t="s">
        <v>40</v>
      </c>
      <c r="I12" s="80" t="s">
        <v>42</v>
      </c>
      <c r="J12" s="80" t="s">
        <v>43</v>
      </c>
      <c r="K12" s="77" t="s">
        <v>11</v>
      </c>
      <c r="L12" s="82" t="s">
        <v>13</v>
      </c>
      <c r="M12" s="27"/>
      <c r="N12" s="27"/>
    </row>
    <row r="13" spans="1:14" ht="13.5" thickBot="1" x14ac:dyDescent="0.25">
      <c r="A13" s="64" t="s">
        <v>49</v>
      </c>
      <c r="B13" s="65">
        <f>'Nový hřbitov-centrum'!B25</f>
        <v>192.2</v>
      </c>
      <c r="C13" s="65">
        <f>'Nový hřbitov-centrum'!G25</f>
        <v>13.365</v>
      </c>
      <c r="D13" s="65">
        <f>'Nový hřbitov-centrum'!M25</f>
        <v>0</v>
      </c>
      <c r="E13" s="65">
        <f>'Nový hřbitov-centrum'!N25</f>
        <v>0.99</v>
      </c>
      <c r="F13" s="65">
        <f>'Nový hřbitov-centrum'!O25</f>
        <v>5.1563352922450978</v>
      </c>
      <c r="G13" s="65">
        <f>'Nový hřbitov-centrum'!P25</f>
        <v>0</v>
      </c>
      <c r="H13" s="65">
        <f>'Nový hřbitov-centrum'!Q25</f>
        <v>-5.1563352922450978</v>
      </c>
      <c r="I13" s="65">
        <f>'Nový hřbitov-centrum'!R25</f>
        <v>7.58</v>
      </c>
      <c r="J13" s="65">
        <f>'Nový hřbitov-centrum'!S25</f>
        <v>1.46</v>
      </c>
      <c r="K13" s="65">
        <f>'Nový hřbitov-centrum'!T25</f>
        <v>3.335</v>
      </c>
      <c r="L13" s="65">
        <f>'Nový hřbitov-centrum'!U25</f>
        <v>10.030000000000001</v>
      </c>
      <c r="M13" s="27"/>
      <c r="N13" s="27"/>
    </row>
    <row r="14" spans="1:14" x14ac:dyDescent="0.2">
      <c r="A14" s="29"/>
      <c r="B14" s="29"/>
      <c r="C14" s="33"/>
      <c r="D14" s="34"/>
      <c r="E14" s="34"/>
      <c r="F14" s="36"/>
      <c r="G14" s="34"/>
      <c r="H14" s="34"/>
      <c r="I14" s="34"/>
      <c r="J14" s="34"/>
      <c r="K14" s="36"/>
      <c r="L14" s="34"/>
      <c r="M14" s="27"/>
      <c r="N14" s="27"/>
    </row>
    <row r="15" spans="1:14" ht="13.5" thickBot="1" x14ac:dyDescent="0.25">
      <c r="A15" s="5" t="s">
        <v>142</v>
      </c>
      <c r="B15" s="5"/>
      <c r="C15" s="6"/>
      <c r="D15" s="7"/>
      <c r="E15" s="7"/>
      <c r="F15" s="8"/>
      <c r="G15" s="7"/>
      <c r="H15" s="7"/>
      <c r="I15" s="7"/>
      <c r="J15" s="7"/>
      <c r="K15" s="5"/>
      <c r="L15" s="5"/>
      <c r="M15" s="27"/>
      <c r="N15" s="27"/>
    </row>
    <row r="16" spans="1:14" ht="24.75" thickBot="1" x14ac:dyDescent="0.25">
      <c r="A16" s="76" t="s">
        <v>1</v>
      </c>
      <c r="B16" s="77" t="s">
        <v>28</v>
      </c>
      <c r="C16" s="78" t="s">
        <v>31</v>
      </c>
      <c r="D16" s="80" t="s">
        <v>36</v>
      </c>
      <c r="E16" s="80" t="s">
        <v>50</v>
      </c>
      <c r="F16" s="81" t="s">
        <v>45</v>
      </c>
      <c r="G16" s="80" t="s">
        <v>39</v>
      </c>
      <c r="H16" s="80" t="s">
        <v>40</v>
      </c>
      <c r="I16" s="80" t="s">
        <v>42</v>
      </c>
      <c r="J16" s="80" t="s">
        <v>43</v>
      </c>
      <c r="K16" s="77" t="s">
        <v>11</v>
      </c>
      <c r="L16" s="82" t="s">
        <v>13</v>
      </c>
      <c r="M16" s="27"/>
      <c r="N16" s="27"/>
    </row>
    <row r="17" spans="1:16" ht="13.5" thickBot="1" x14ac:dyDescent="0.25">
      <c r="A17" s="64" t="s">
        <v>49</v>
      </c>
      <c r="B17" s="65">
        <f>'Nový hřbitov-centrum'!B31</f>
        <v>107.30000000000001</v>
      </c>
      <c r="C17" s="65">
        <f>'Nový hřbitov-centrum'!G31</f>
        <v>4.53</v>
      </c>
      <c r="D17" s="67">
        <f>'Nový hřbitov-centrum'!M31</f>
        <v>11.34</v>
      </c>
      <c r="E17" s="67">
        <f>'Nový hřbitov-centrum'!N31</f>
        <v>0.28500000000000003</v>
      </c>
      <c r="F17" s="68">
        <f>'Nový hřbitov-centrum'!O31</f>
        <v>0</v>
      </c>
      <c r="G17" s="67">
        <f>'Nový hřbitov-centrum'!P31</f>
        <v>0</v>
      </c>
      <c r="H17" s="67">
        <f>'Nový hřbitov-centrum'!Q31</f>
        <v>0</v>
      </c>
      <c r="I17" s="67">
        <f>'Nový hřbitov-centrum'!R31</f>
        <v>1.2150000000000001</v>
      </c>
      <c r="J17" s="67">
        <f>'Nový hřbitov-centrum'!S31</f>
        <v>0</v>
      </c>
      <c r="K17" s="67">
        <f>'Nový hřbitov-centrum'!T31</f>
        <v>3.1050000000000004</v>
      </c>
      <c r="L17" s="67">
        <f>'Nový hřbitov-centrum'!U31</f>
        <v>1.5</v>
      </c>
      <c r="M17" s="27"/>
      <c r="N17" s="27"/>
    </row>
    <row r="18" spans="1:16" x14ac:dyDescent="0.2">
      <c r="A18" s="29"/>
      <c r="B18" s="29"/>
      <c r="C18" s="33"/>
      <c r="D18" s="34"/>
      <c r="E18" s="34"/>
      <c r="F18" s="36"/>
      <c r="G18" s="34"/>
      <c r="H18" s="34"/>
      <c r="I18" s="34"/>
      <c r="J18" s="34"/>
      <c r="K18" s="36"/>
      <c r="L18" s="34"/>
      <c r="M18" s="27"/>
      <c r="N18" s="27"/>
    </row>
    <row r="19" spans="1:16" ht="13.5" thickBot="1" x14ac:dyDescent="0.25">
      <c r="A19" s="5" t="s">
        <v>84</v>
      </c>
      <c r="B19" s="5"/>
      <c r="C19" s="6"/>
      <c r="D19" s="7"/>
      <c r="E19" s="7"/>
      <c r="F19" s="8"/>
      <c r="G19" s="7"/>
      <c r="H19" s="7"/>
      <c r="I19" s="7"/>
      <c r="J19" s="7"/>
      <c r="K19" s="5"/>
      <c r="L19" s="5"/>
      <c r="M19" s="27"/>
      <c r="N19" s="27"/>
      <c r="P19" s="29"/>
    </row>
    <row r="20" spans="1:16" ht="24.75" thickBot="1" x14ac:dyDescent="0.25">
      <c r="A20" s="76" t="s">
        <v>1</v>
      </c>
      <c r="B20" s="77" t="s">
        <v>122</v>
      </c>
      <c r="C20" s="78" t="s">
        <v>31</v>
      </c>
      <c r="D20" s="80" t="s">
        <v>36</v>
      </c>
      <c r="E20" s="80" t="s">
        <v>50</v>
      </c>
      <c r="F20" s="81" t="s">
        <v>45</v>
      </c>
      <c r="G20" s="80" t="s">
        <v>39</v>
      </c>
      <c r="H20" s="80" t="s">
        <v>40</v>
      </c>
      <c r="I20" s="80" t="s">
        <v>42</v>
      </c>
      <c r="J20" s="80" t="s">
        <v>92</v>
      </c>
      <c r="K20" s="77" t="s">
        <v>11</v>
      </c>
      <c r="L20" s="82" t="s">
        <v>13</v>
      </c>
      <c r="M20" s="27"/>
      <c r="N20" s="27"/>
      <c r="P20" s="30"/>
    </row>
    <row r="21" spans="1:16" ht="13.5" thickBot="1" x14ac:dyDescent="0.25">
      <c r="A21" s="84" t="s">
        <v>107</v>
      </c>
      <c r="B21" s="85">
        <f>'Nový hřbitov-centrum'!B44</f>
        <v>0</v>
      </c>
      <c r="C21" s="85">
        <f>'Nový hřbitov-centrum'!G44</f>
        <v>68.170999999999992</v>
      </c>
      <c r="D21" s="85">
        <f>'Nový hřbitov-centrum'!M44</f>
        <v>74.06</v>
      </c>
      <c r="E21" s="85">
        <f>'Nový hřbitov-centrum'!N44</f>
        <v>0.98599999999999999</v>
      </c>
      <c r="F21" s="85">
        <f>'Nový hřbitov-centrum'!O44</f>
        <v>16.18297207717174</v>
      </c>
      <c r="G21" s="85">
        <f>'Nový hřbitov-centrum'!P44</f>
        <v>69.396000000000001</v>
      </c>
      <c r="H21" s="85">
        <f>'Nový hřbitov-centrum'!Q44</f>
        <v>27.247774499676254</v>
      </c>
      <c r="I21" s="85">
        <f>'Nový hřbitov-centrum'!R44</f>
        <v>4.29</v>
      </c>
      <c r="J21" s="85">
        <f>'Nový hřbitov-centrum'!S44</f>
        <v>14.977903882302641</v>
      </c>
      <c r="K21" s="85">
        <f>'Nový hřbitov-centrum'!T44</f>
        <v>4.29</v>
      </c>
      <c r="L21" s="85">
        <f>'Nový hřbitov-centrum'!U44</f>
        <v>63.684650459150639</v>
      </c>
      <c r="M21" s="27"/>
      <c r="N21" s="27"/>
    </row>
    <row r="24" spans="1:16" x14ac:dyDescent="0.2">
      <c r="A24" s="103" t="s">
        <v>121</v>
      </c>
    </row>
    <row r="26" spans="1:16" ht="13.5" thickBot="1" x14ac:dyDescent="0.25">
      <c r="A26" s="5" t="s">
        <v>37</v>
      </c>
      <c r="B26" s="5"/>
      <c r="C26" s="6"/>
      <c r="D26" s="7"/>
      <c r="E26" s="7"/>
      <c r="F26" s="8"/>
      <c r="G26" s="7"/>
      <c r="H26" s="7"/>
      <c r="I26" s="7"/>
      <c r="J26" s="7"/>
      <c r="K26" s="5"/>
      <c r="L26" s="5"/>
      <c r="M26" s="27"/>
      <c r="N26" s="27"/>
    </row>
    <row r="27" spans="1:16" s="1" customFormat="1" ht="24.75" thickBot="1" x14ac:dyDescent="0.25">
      <c r="A27" s="76" t="s">
        <v>1</v>
      </c>
      <c r="B27" s="77" t="s">
        <v>28</v>
      </c>
      <c r="C27" s="78" t="s">
        <v>31</v>
      </c>
      <c r="D27" s="80" t="s">
        <v>36</v>
      </c>
      <c r="E27" s="80" t="s">
        <v>50</v>
      </c>
      <c r="F27" s="81" t="s">
        <v>45</v>
      </c>
      <c r="G27" s="80" t="s">
        <v>39</v>
      </c>
      <c r="H27" s="80" t="s">
        <v>40</v>
      </c>
      <c r="I27" s="80" t="s">
        <v>42</v>
      </c>
      <c r="J27" s="80" t="s">
        <v>43</v>
      </c>
      <c r="K27" s="77" t="s">
        <v>11</v>
      </c>
      <c r="L27" s="82" t="s">
        <v>13</v>
      </c>
      <c r="M27" s="28"/>
      <c r="N27" s="28"/>
    </row>
    <row r="28" spans="1:16" s="55" customFormat="1" ht="13.5" thickBot="1" x14ac:dyDescent="0.25">
      <c r="A28" s="64" t="s">
        <v>49</v>
      </c>
      <c r="B28" s="65">
        <f>'Nový hřbitov-jih'!B12</f>
        <v>458.5</v>
      </c>
      <c r="C28" s="65">
        <f>'Nový hřbitov-jih'!G12</f>
        <v>806.20400000000006</v>
      </c>
      <c r="D28" s="65">
        <f>'Nový hřbitov-jih'!M12</f>
        <v>1532.85</v>
      </c>
      <c r="E28" s="65">
        <f>'Nový hřbitov-jih'!N12</f>
        <v>30.81600000000001</v>
      </c>
      <c r="F28" s="65">
        <f>'Nový hřbitov-jih'!O12</f>
        <v>1.4985396957623316</v>
      </c>
      <c r="G28" s="65">
        <f>'Nový hřbitov-jih'!P12</f>
        <v>3151.7640000000001</v>
      </c>
      <c r="H28" s="65">
        <f>'Nový hřbitov-jih'!Q12</f>
        <v>636.36546030423767</v>
      </c>
      <c r="I28" s="65">
        <f>'Nový hřbitov-jih'!R12</f>
        <v>28.192</v>
      </c>
      <c r="J28" s="65">
        <f>'Nový hřbitov-jih'!S12</f>
        <v>98.75200000000001</v>
      </c>
      <c r="K28" s="65">
        <f>'Nový hřbitov-jih'!T12</f>
        <v>19.771999999999998</v>
      </c>
      <c r="L28" s="65">
        <f>'Nový hřbitov-jih'!U12</f>
        <v>795.62400000000002</v>
      </c>
      <c r="M28" s="57"/>
      <c r="N28" s="57"/>
    </row>
    <row r="29" spans="1:16" x14ac:dyDescent="0.2">
      <c r="A29" s="29"/>
      <c r="B29" s="29"/>
      <c r="C29" s="33"/>
      <c r="D29" s="34"/>
      <c r="E29" s="35"/>
      <c r="F29" s="36"/>
      <c r="G29" s="34"/>
      <c r="H29" s="34"/>
      <c r="I29" s="34"/>
      <c r="J29" s="34"/>
      <c r="K29" s="36"/>
      <c r="L29" s="34"/>
      <c r="M29" s="27"/>
      <c r="N29" s="27"/>
    </row>
    <row r="30" spans="1:16" ht="13.5" thickBot="1" x14ac:dyDescent="0.25">
      <c r="A30" s="5" t="s">
        <v>51</v>
      </c>
      <c r="B30" s="5"/>
      <c r="C30" s="6"/>
      <c r="D30" s="7"/>
      <c r="E30" s="7"/>
      <c r="F30" s="8"/>
      <c r="G30" s="7"/>
      <c r="H30" s="7"/>
      <c r="I30" s="7"/>
      <c r="J30" s="7"/>
      <c r="K30" s="5"/>
      <c r="L30" s="5"/>
      <c r="M30" s="27"/>
      <c r="N30" s="27"/>
    </row>
    <row r="31" spans="1:16" ht="24.75" thickBot="1" x14ac:dyDescent="0.25">
      <c r="A31" s="76" t="s">
        <v>1</v>
      </c>
      <c r="B31" s="77" t="s">
        <v>28</v>
      </c>
      <c r="C31" s="78" t="s">
        <v>31</v>
      </c>
      <c r="D31" s="80" t="s">
        <v>36</v>
      </c>
      <c r="E31" s="80" t="s">
        <v>50</v>
      </c>
      <c r="F31" s="81" t="s">
        <v>45</v>
      </c>
      <c r="G31" s="80" t="s">
        <v>39</v>
      </c>
      <c r="H31" s="80" t="s">
        <v>40</v>
      </c>
      <c r="I31" s="80" t="s">
        <v>42</v>
      </c>
      <c r="J31" s="80" t="s">
        <v>43</v>
      </c>
      <c r="K31" s="77" t="s">
        <v>11</v>
      </c>
      <c r="L31" s="82" t="s">
        <v>13</v>
      </c>
      <c r="M31" s="27"/>
      <c r="N31" s="27"/>
    </row>
    <row r="32" spans="1:16" ht="13.5" thickBot="1" x14ac:dyDescent="0.25">
      <c r="A32" s="64" t="s">
        <v>49</v>
      </c>
      <c r="B32" s="65">
        <f>'Nový hřbitov-jih'!B24</f>
        <v>225.2</v>
      </c>
      <c r="C32" s="65">
        <f>'Nový hřbitov-jih'!G24</f>
        <v>22.905500000000004</v>
      </c>
      <c r="D32" s="65">
        <f>'Nový hřbitov-jih'!M24</f>
        <v>49.402500000000003</v>
      </c>
      <c r="E32" s="65">
        <f>'Nový hřbitov-jih'!N24</f>
        <v>1.6090000000000002</v>
      </c>
      <c r="F32" s="65">
        <f>'Nový hřbitov-jih'!O24</f>
        <v>3.1068387848594559</v>
      </c>
      <c r="G32" s="65">
        <f>'Nový hřbitov-jih'!P24</f>
        <v>0</v>
      </c>
      <c r="H32" s="65">
        <f>'Nový hřbitov-jih'!Q24</f>
        <v>-1.2660618393966867</v>
      </c>
      <c r="I32" s="65">
        <f>'Nový hřbitov-jih'!R24</f>
        <v>7.1757230545372312</v>
      </c>
      <c r="J32" s="65">
        <f>'Nový hřbitov-jih'!S24</f>
        <v>6.4360000000000008</v>
      </c>
      <c r="K32" s="65">
        <f>'Nový hřbitov-jih'!T24</f>
        <v>5.8440000000000003</v>
      </c>
      <c r="L32" s="65">
        <f>'Nový hřbitov-jih'!U24</f>
        <v>17.061500000000002</v>
      </c>
      <c r="M32" s="27"/>
      <c r="N32" s="27"/>
    </row>
    <row r="34" spans="1:14" ht="13.5" thickBot="1" x14ac:dyDescent="0.25">
      <c r="A34" s="5" t="s">
        <v>142</v>
      </c>
      <c r="B34" s="5"/>
      <c r="C34" s="6"/>
      <c r="D34" s="7"/>
      <c r="E34" s="7"/>
      <c r="F34" s="8"/>
      <c r="G34" s="7"/>
      <c r="H34" s="7"/>
      <c r="I34" s="7"/>
      <c r="J34" s="7"/>
      <c r="K34" s="5"/>
      <c r="L34" s="5"/>
      <c r="M34" s="27"/>
      <c r="N34" s="27"/>
    </row>
    <row r="35" spans="1:14" ht="24.75" thickBot="1" x14ac:dyDescent="0.25">
      <c r="A35" s="76" t="s">
        <v>1</v>
      </c>
      <c r="B35" s="77" t="s">
        <v>28</v>
      </c>
      <c r="C35" s="78" t="s">
        <v>31</v>
      </c>
      <c r="D35" s="80" t="s">
        <v>36</v>
      </c>
      <c r="E35" s="80" t="s">
        <v>50</v>
      </c>
      <c r="F35" s="81" t="s">
        <v>45</v>
      </c>
      <c r="G35" s="80" t="s">
        <v>39</v>
      </c>
      <c r="H35" s="80" t="s">
        <v>40</v>
      </c>
      <c r="I35" s="80" t="s">
        <v>42</v>
      </c>
      <c r="J35" s="80" t="s">
        <v>43</v>
      </c>
      <c r="K35" s="77" t="s">
        <v>11</v>
      </c>
      <c r="L35" s="82" t="s">
        <v>13</v>
      </c>
      <c r="M35" s="27"/>
      <c r="N35" s="27"/>
    </row>
    <row r="36" spans="1:14" ht="13.5" thickBot="1" x14ac:dyDescent="0.25">
      <c r="A36" s="64" t="s">
        <v>49</v>
      </c>
      <c r="B36" s="65">
        <f>'Nový hřbitov-jih'!B30</f>
        <v>108.9</v>
      </c>
      <c r="C36" s="65">
        <f>'Nový hřbitov-jih'!G30</f>
        <v>1.8049999999999999</v>
      </c>
      <c r="D36" s="67">
        <f>'Nový hřbitov-jih'!M30</f>
        <v>0</v>
      </c>
      <c r="E36" s="67">
        <f>'Nový hřbitov-jih'!N30</f>
        <v>0.15000000000000002</v>
      </c>
      <c r="F36" s="67">
        <f>'Nový hřbitov-jih'!O30</f>
        <v>0</v>
      </c>
      <c r="G36" s="67">
        <f>'Nový hřbitov-jih'!P30</f>
        <v>0</v>
      </c>
      <c r="H36" s="67">
        <f>'Nový hřbitov-jih'!Q30</f>
        <v>0</v>
      </c>
      <c r="I36" s="67">
        <f>'Nový hřbitov-jih'!R30</f>
        <v>0.67999999999999994</v>
      </c>
      <c r="J36" s="67">
        <f>'Nový hřbitov-jih'!S30</f>
        <v>0.60000000000000009</v>
      </c>
      <c r="K36" s="67">
        <f>'Nový hřbitov-jih'!T30</f>
        <v>0.45499999999999996</v>
      </c>
      <c r="L36" s="67">
        <f>'Nový hřbitov-jih'!U30</f>
        <v>1.43</v>
      </c>
      <c r="M36" s="27"/>
      <c r="N36" s="27"/>
    </row>
    <row r="40" spans="1:14" ht="13.5" thickBot="1" x14ac:dyDescent="0.25">
      <c r="A40" s="103" t="s">
        <v>123</v>
      </c>
    </row>
    <row r="41" spans="1:14" s="1" customFormat="1" ht="24.75" thickBot="1" x14ac:dyDescent="0.25">
      <c r="A41" s="76" t="s">
        <v>1</v>
      </c>
      <c r="B41" s="77" t="s">
        <v>28</v>
      </c>
      <c r="C41" s="78" t="s">
        <v>31</v>
      </c>
      <c r="D41" s="80" t="s">
        <v>36</v>
      </c>
      <c r="E41" s="80" t="s">
        <v>50</v>
      </c>
      <c r="F41" s="81" t="s">
        <v>45</v>
      </c>
      <c r="G41" s="80" t="s">
        <v>39</v>
      </c>
      <c r="H41" s="80" t="s">
        <v>40</v>
      </c>
      <c r="I41" s="80" t="s">
        <v>42</v>
      </c>
      <c r="J41" s="80" t="s">
        <v>43</v>
      </c>
      <c r="K41" s="77" t="s">
        <v>11</v>
      </c>
      <c r="L41" s="82" t="s">
        <v>13</v>
      </c>
      <c r="M41" s="28"/>
      <c r="N41" s="28"/>
    </row>
    <row r="42" spans="1:14" s="55" customFormat="1" ht="13.5" thickBot="1" x14ac:dyDescent="0.25">
      <c r="A42" s="64" t="s">
        <v>49</v>
      </c>
      <c r="B42" s="65">
        <f>+B9+B28</f>
        <v>844.8</v>
      </c>
      <c r="C42" s="65">
        <f t="shared" ref="C42:K42" si="0">+C9+C28</f>
        <v>1619.0419999999999</v>
      </c>
      <c r="D42" s="65">
        <f t="shared" si="0"/>
        <v>2962.0275000000001</v>
      </c>
      <c r="E42" s="65">
        <f t="shared" si="0"/>
        <v>64.164000000000016</v>
      </c>
      <c r="F42" s="65">
        <f t="shared" si="0"/>
        <v>17.641613546233486</v>
      </c>
      <c r="G42" s="65">
        <f t="shared" si="0"/>
        <v>6073.4850000000006</v>
      </c>
      <c r="H42" s="65">
        <f t="shared" si="0"/>
        <v>1211.1300650620888</v>
      </c>
      <c r="I42" s="65">
        <f t="shared" si="0"/>
        <v>118.7615645044182</v>
      </c>
      <c r="J42" s="65">
        <f t="shared" si="0"/>
        <v>178.25000000000003</v>
      </c>
      <c r="K42" s="65">
        <f t="shared" si="0"/>
        <v>50.360999999999997</v>
      </c>
      <c r="L42" s="65">
        <f>+L9+L28</f>
        <v>1599.002</v>
      </c>
      <c r="M42" s="57"/>
      <c r="N42" s="57"/>
    </row>
    <row r="43" spans="1:14" s="55" customFormat="1" x14ac:dyDescent="0.2">
      <c r="A43" s="104"/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57"/>
      <c r="N43" s="57"/>
    </row>
    <row r="44" spans="1:14" ht="13.5" thickBot="1" x14ac:dyDescent="0.25">
      <c r="A44" s="103" t="s">
        <v>125</v>
      </c>
    </row>
    <row r="45" spans="1:14" s="1" customFormat="1" ht="24.75" thickBot="1" x14ac:dyDescent="0.25">
      <c r="A45" s="76" t="s">
        <v>1</v>
      </c>
      <c r="B45" s="77" t="s">
        <v>28</v>
      </c>
      <c r="C45" s="78" t="s">
        <v>31</v>
      </c>
      <c r="D45" s="80" t="s">
        <v>36</v>
      </c>
      <c r="E45" s="80" t="s">
        <v>50</v>
      </c>
      <c r="F45" s="81" t="s">
        <v>45</v>
      </c>
      <c r="G45" s="80" t="s">
        <v>39</v>
      </c>
      <c r="H45" s="80" t="s">
        <v>40</v>
      </c>
      <c r="I45" s="80" t="s">
        <v>42</v>
      </c>
      <c r="J45" s="80" t="s">
        <v>43</v>
      </c>
      <c r="K45" s="77" t="s">
        <v>11</v>
      </c>
      <c r="L45" s="82" t="s">
        <v>13</v>
      </c>
      <c r="M45" s="28"/>
      <c r="N45" s="28"/>
    </row>
    <row r="46" spans="1:14" s="55" customFormat="1" ht="13.5" thickBot="1" x14ac:dyDescent="0.25">
      <c r="A46" s="64" t="s">
        <v>49</v>
      </c>
      <c r="B46" s="65">
        <f>+B13+B32</f>
        <v>417.4</v>
      </c>
      <c r="C46" s="65">
        <f t="shared" ref="C46:L46" si="1">+C13+C32</f>
        <v>36.270500000000006</v>
      </c>
      <c r="D46" s="65">
        <f t="shared" si="1"/>
        <v>49.402500000000003</v>
      </c>
      <c r="E46" s="65">
        <f t="shared" si="1"/>
        <v>2.5990000000000002</v>
      </c>
      <c r="F46" s="65">
        <f t="shared" si="1"/>
        <v>8.2631740771045532</v>
      </c>
      <c r="G46" s="65">
        <f t="shared" si="1"/>
        <v>0</v>
      </c>
      <c r="H46" s="65">
        <f t="shared" si="1"/>
        <v>-6.4223971316417847</v>
      </c>
      <c r="I46" s="65">
        <f t="shared" si="1"/>
        <v>14.755723054537231</v>
      </c>
      <c r="J46" s="65">
        <f t="shared" si="1"/>
        <v>7.8960000000000008</v>
      </c>
      <c r="K46" s="65">
        <f t="shared" si="1"/>
        <v>9.1790000000000003</v>
      </c>
      <c r="L46" s="65">
        <f t="shared" si="1"/>
        <v>27.091500000000003</v>
      </c>
      <c r="M46" s="57"/>
      <c r="N46" s="57"/>
    </row>
    <row r="48" spans="1:14" ht="13.5" thickBot="1" x14ac:dyDescent="0.25">
      <c r="A48" s="103" t="s">
        <v>172</v>
      </c>
    </row>
    <row r="49" spans="1:16" s="1" customFormat="1" ht="24.75" thickBot="1" x14ac:dyDescent="0.25">
      <c r="A49" s="76" t="s">
        <v>1</v>
      </c>
      <c r="B49" s="77" t="s">
        <v>28</v>
      </c>
      <c r="C49" s="78" t="s">
        <v>31</v>
      </c>
      <c r="D49" s="80" t="s">
        <v>36</v>
      </c>
      <c r="E49" s="80" t="s">
        <v>50</v>
      </c>
      <c r="F49" s="81" t="s">
        <v>45</v>
      </c>
      <c r="G49" s="80" t="s">
        <v>39</v>
      </c>
      <c r="H49" s="80" t="s">
        <v>40</v>
      </c>
      <c r="I49" s="80" t="s">
        <v>42</v>
      </c>
      <c r="J49" s="80" t="s">
        <v>43</v>
      </c>
      <c r="K49" s="77" t="s">
        <v>11</v>
      </c>
      <c r="L49" s="82" t="s">
        <v>13</v>
      </c>
      <c r="M49" s="28"/>
      <c r="N49" s="28"/>
    </row>
    <row r="50" spans="1:16" s="55" customFormat="1" ht="13.5" thickBot="1" x14ac:dyDescent="0.25">
      <c r="A50" s="64" t="s">
        <v>49</v>
      </c>
      <c r="B50" s="65">
        <f>+B17+B36</f>
        <v>216.20000000000002</v>
      </c>
      <c r="C50" s="65">
        <f t="shared" ref="C50:L50" si="2">+C17+C36</f>
        <v>6.335</v>
      </c>
      <c r="D50" s="65">
        <f t="shared" si="2"/>
        <v>11.34</v>
      </c>
      <c r="E50" s="65">
        <f t="shared" si="2"/>
        <v>0.43500000000000005</v>
      </c>
      <c r="F50" s="65">
        <f t="shared" si="2"/>
        <v>0</v>
      </c>
      <c r="G50" s="65">
        <f t="shared" si="2"/>
        <v>0</v>
      </c>
      <c r="H50" s="65">
        <f t="shared" si="2"/>
        <v>0</v>
      </c>
      <c r="I50" s="65">
        <f t="shared" si="2"/>
        <v>1.895</v>
      </c>
      <c r="J50" s="65">
        <f t="shared" si="2"/>
        <v>0.60000000000000009</v>
      </c>
      <c r="K50" s="65">
        <f t="shared" si="2"/>
        <v>3.5600000000000005</v>
      </c>
      <c r="L50" s="65">
        <f t="shared" si="2"/>
        <v>2.9299999999999997</v>
      </c>
      <c r="M50" s="57"/>
      <c r="N50" s="57"/>
    </row>
    <row r="52" spans="1:16" ht="13.5" thickBot="1" x14ac:dyDescent="0.25">
      <c r="A52" s="103" t="s">
        <v>124</v>
      </c>
    </row>
    <row r="53" spans="1:16" ht="24.75" thickBot="1" x14ac:dyDescent="0.25">
      <c r="A53" s="76" t="s">
        <v>1</v>
      </c>
      <c r="B53" s="77" t="s">
        <v>28</v>
      </c>
      <c r="C53" s="78" t="s">
        <v>31</v>
      </c>
      <c r="D53" s="80" t="s">
        <v>36</v>
      </c>
      <c r="E53" s="80" t="s">
        <v>50</v>
      </c>
      <c r="F53" s="81" t="s">
        <v>45</v>
      </c>
      <c r="G53" s="80" t="s">
        <v>39</v>
      </c>
      <c r="H53" s="80" t="s">
        <v>40</v>
      </c>
      <c r="I53" s="80" t="s">
        <v>42</v>
      </c>
      <c r="J53" s="80" t="s">
        <v>92</v>
      </c>
      <c r="K53" s="77" t="s">
        <v>11</v>
      </c>
      <c r="L53" s="82" t="s">
        <v>13</v>
      </c>
      <c r="M53" s="27"/>
      <c r="N53" s="27"/>
      <c r="P53" s="30"/>
    </row>
    <row r="54" spans="1:16" ht="13.5" thickBot="1" x14ac:dyDescent="0.25">
      <c r="A54" s="84" t="s">
        <v>107</v>
      </c>
      <c r="B54" s="85">
        <f>+B21</f>
        <v>0</v>
      </c>
      <c r="C54" s="85">
        <f t="shared" ref="C54:L54" si="3">+C21</f>
        <v>68.170999999999992</v>
      </c>
      <c r="D54" s="85">
        <f t="shared" si="3"/>
        <v>74.06</v>
      </c>
      <c r="E54" s="85">
        <f t="shared" si="3"/>
        <v>0.98599999999999999</v>
      </c>
      <c r="F54" s="85">
        <f t="shared" si="3"/>
        <v>16.18297207717174</v>
      </c>
      <c r="G54" s="85">
        <f t="shared" si="3"/>
        <v>69.396000000000001</v>
      </c>
      <c r="H54" s="85">
        <f t="shared" si="3"/>
        <v>27.247774499676254</v>
      </c>
      <c r="I54" s="85">
        <f t="shared" si="3"/>
        <v>4.29</v>
      </c>
      <c r="J54" s="85">
        <f t="shared" si="3"/>
        <v>14.977903882302641</v>
      </c>
      <c r="K54" s="85">
        <f t="shared" si="3"/>
        <v>4.29</v>
      </c>
      <c r="L54" s="85">
        <f t="shared" si="3"/>
        <v>63.684650459150639</v>
      </c>
      <c r="M54" s="27"/>
      <c r="N54" s="27"/>
    </row>
    <row r="57" spans="1:16" x14ac:dyDescent="0.2">
      <c r="A57" t="s">
        <v>126</v>
      </c>
      <c r="C57">
        <f>'Nový hřbitov-centrum'!D35+'Nový hřbitov-jih'!D34</f>
        <v>928.40000000000009</v>
      </c>
    </row>
  </sheetData>
  <pageMargins left="0.41" right="0.22" top="0.28999999999999998" bottom="0.28999999999999998" header="0.3" footer="0.3"/>
  <pageSetup paperSize="8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0"/>
  <sheetViews>
    <sheetView view="pageBreakPreview" topLeftCell="A4" zoomScale="85" zoomScaleNormal="85" zoomScaleSheetLayoutView="85" workbookViewId="0">
      <pane xSplit="4" ySplit="1" topLeftCell="E5" activePane="bottomRight" state="frozen"/>
      <selection activeCell="A4" sqref="A4"/>
      <selection pane="topRight" activeCell="E4" sqref="E4"/>
      <selection pane="bottomLeft" activeCell="A5" sqref="A5"/>
      <selection pane="bottomRight" activeCell="A4" sqref="A4"/>
    </sheetView>
  </sheetViews>
  <sheetFormatPr defaultRowHeight="12.75" x14ac:dyDescent="0.2"/>
  <cols>
    <col min="1" max="1" width="16" customWidth="1"/>
    <col min="2" max="2" width="7.42578125" customWidth="1"/>
    <col min="3" max="3" width="9.28515625" customWidth="1"/>
    <col min="4" max="4" width="7" customWidth="1"/>
    <col min="5" max="5" width="21.5703125" customWidth="1"/>
    <col min="6" max="6" width="9.140625" customWidth="1"/>
    <col min="7" max="7" width="8.140625" style="2" customWidth="1"/>
    <col min="8" max="8" width="9.85546875" customWidth="1"/>
    <col min="9" max="9" width="11.85546875" bestFit="1" customWidth="1"/>
    <col min="10" max="10" width="11.85546875" customWidth="1"/>
    <col min="11" max="11" width="6.42578125" customWidth="1"/>
    <col min="12" max="12" width="6.85546875" customWidth="1"/>
    <col min="13" max="13" width="7.42578125" style="3" bestFit="1" customWidth="1"/>
    <col min="14" max="14" width="6.85546875" style="3" customWidth="1"/>
    <col min="15" max="15" width="7.85546875" style="4" customWidth="1"/>
    <col min="16" max="16" width="8.85546875" style="3" customWidth="1"/>
    <col min="17" max="17" width="13.5703125" style="3" customWidth="1"/>
    <col min="18" max="18" width="12" style="3" customWidth="1"/>
    <col min="19" max="19" width="12.42578125" style="3" customWidth="1"/>
    <col min="20" max="20" width="7.7109375" customWidth="1"/>
    <col min="21" max="21" width="7.140625" customWidth="1"/>
    <col min="22" max="23" width="14" style="27" customWidth="1"/>
  </cols>
  <sheetData>
    <row r="1" spans="1:23" ht="15" x14ac:dyDescent="0.25">
      <c r="A1" s="31" t="s">
        <v>82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7"/>
      <c r="N1" s="7"/>
      <c r="O1" s="8"/>
      <c r="P1" s="7"/>
      <c r="Q1" s="7"/>
      <c r="R1" s="7"/>
      <c r="S1" s="7"/>
      <c r="T1" s="5"/>
      <c r="U1" s="5"/>
    </row>
    <row r="2" spans="1:23" x14ac:dyDescent="0.2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7"/>
      <c r="N2" s="7"/>
      <c r="O2" s="8"/>
      <c r="P2" s="7"/>
      <c r="Q2" s="7"/>
      <c r="R2" s="7"/>
      <c r="S2" s="7"/>
      <c r="T2" s="5"/>
      <c r="U2" s="5"/>
    </row>
    <row r="3" spans="1:23" ht="13.5" thickBot="1" x14ac:dyDescent="0.25">
      <c r="A3" s="5" t="s">
        <v>37</v>
      </c>
      <c r="B3" s="5"/>
      <c r="C3" s="5"/>
      <c r="D3" s="5"/>
      <c r="E3" s="5"/>
      <c r="F3" s="5"/>
      <c r="G3" s="6"/>
      <c r="H3" s="5"/>
      <c r="I3" s="5"/>
      <c r="J3" s="5"/>
      <c r="K3" s="5"/>
      <c r="L3" s="5"/>
      <c r="M3" s="7"/>
      <c r="N3" s="7"/>
      <c r="O3" s="8"/>
      <c r="P3" s="7"/>
      <c r="Q3" s="7"/>
      <c r="R3" s="7"/>
      <c r="S3" s="7"/>
      <c r="T3" s="5"/>
      <c r="U3" s="5"/>
    </row>
    <row r="4" spans="1:23" s="1" customFormat="1" ht="44.25" customHeight="1" thickBot="1" x14ac:dyDescent="0.25">
      <c r="A4" s="76" t="s">
        <v>1</v>
      </c>
      <c r="B4" s="77" t="s">
        <v>28</v>
      </c>
      <c r="C4" s="77" t="s">
        <v>29</v>
      </c>
      <c r="D4" s="77" t="s">
        <v>30</v>
      </c>
      <c r="E4" s="77" t="s">
        <v>33</v>
      </c>
      <c r="F4" s="77" t="s">
        <v>41</v>
      </c>
      <c r="G4" s="78" t="s">
        <v>31</v>
      </c>
      <c r="H4" s="77" t="s">
        <v>34</v>
      </c>
      <c r="I4" s="77" t="s">
        <v>5</v>
      </c>
      <c r="J4" s="77" t="s">
        <v>3</v>
      </c>
      <c r="K4" s="77" t="s">
        <v>6</v>
      </c>
      <c r="L4" s="79" t="s">
        <v>35</v>
      </c>
      <c r="M4" s="80" t="s">
        <v>36</v>
      </c>
      <c r="N4" s="80" t="s">
        <v>50</v>
      </c>
      <c r="O4" s="81" t="s">
        <v>45</v>
      </c>
      <c r="P4" s="80" t="s">
        <v>39</v>
      </c>
      <c r="Q4" s="80" t="s">
        <v>40</v>
      </c>
      <c r="R4" s="80" t="s">
        <v>42</v>
      </c>
      <c r="S4" s="80" t="s">
        <v>43</v>
      </c>
      <c r="T4" s="77" t="s">
        <v>11</v>
      </c>
      <c r="U4" s="82" t="s">
        <v>13</v>
      </c>
      <c r="V4" s="28"/>
      <c r="W4" s="28"/>
    </row>
    <row r="5" spans="1:23" ht="24" x14ac:dyDescent="0.2">
      <c r="A5" s="70" t="s">
        <v>128</v>
      </c>
      <c r="B5" s="16">
        <v>38.799999999999997</v>
      </c>
      <c r="C5" s="16">
        <v>2.5</v>
      </c>
      <c r="D5" s="16">
        <v>0.8</v>
      </c>
      <c r="E5" s="16" t="s">
        <v>38</v>
      </c>
      <c r="F5" s="16">
        <v>160</v>
      </c>
      <c r="G5" s="17">
        <f t="shared" ref="G5:G14" si="0">B5*C5*D5</f>
        <v>77.600000000000009</v>
      </c>
      <c r="H5" s="16" t="s">
        <v>47</v>
      </c>
      <c r="I5" s="16">
        <v>0</v>
      </c>
      <c r="J5" s="56" t="s">
        <v>173</v>
      </c>
      <c r="K5" s="16">
        <f>C5-0.4</f>
        <v>2.1</v>
      </c>
      <c r="L5" s="16">
        <v>0</v>
      </c>
      <c r="M5" s="18">
        <f>B5*C5*2*0.75</f>
        <v>145.5</v>
      </c>
      <c r="N5" s="18">
        <f>B5*D5*0.1</f>
        <v>3.1040000000000001</v>
      </c>
      <c r="O5" s="19">
        <f t="shared" ref="O5:O11" si="1">B5*L5</f>
        <v>0</v>
      </c>
      <c r="P5" s="18">
        <f t="shared" ref="P5:P14" si="2">(2*B5*C5+3*B5*D5)*1.1</f>
        <v>315.83200000000005</v>
      </c>
      <c r="Q5" s="18">
        <f t="shared" ref="Q5:Q14" si="3">(B5*D5*K5)-N5-O5</f>
        <v>62.08</v>
      </c>
      <c r="R5" s="18">
        <f>(B5-3.5)*D5*0.4</f>
        <v>11.295999999999999</v>
      </c>
      <c r="S5" s="18">
        <f>3.5*D5*0.4</f>
        <v>1.1200000000000001</v>
      </c>
      <c r="T5" s="19">
        <f>(B5-3.5)*D5*0.15</f>
        <v>4.2359999999999998</v>
      </c>
      <c r="U5" s="20">
        <f t="shared" ref="U5:U14" si="4">N5+O5+R5+Q5+S5</f>
        <v>77.599999999999994</v>
      </c>
    </row>
    <row r="6" spans="1:23" ht="36" x14ac:dyDescent="0.2">
      <c r="A6" s="70" t="s">
        <v>129</v>
      </c>
      <c r="B6" s="16">
        <v>24.5</v>
      </c>
      <c r="C6" s="99">
        <v>3</v>
      </c>
      <c r="D6" s="16">
        <v>0.8</v>
      </c>
      <c r="E6" s="16" t="s">
        <v>38</v>
      </c>
      <c r="F6" s="16">
        <v>160</v>
      </c>
      <c r="G6" s="17">
        <f t="shared" si="0"/>
        <v>58.800000000000004</v>
      </c>
      <c r="H6" s="16" t="s">
        <v>47</v>
      </c>
      <c r="I6" s="16">
        <v>0</v>
      </c>
      <c r="J6" s="56" t="s">
        <v>174</v>
      </c>
      <c r="K6" s="16">
        <f>C6-0.4</f>
        <v>2.6</v>
      </c>
      <c r="L6" s="16">
        <v>0</v>
      </c>
      <c r="M6" s="18">
        <f>B6*C6*2*0.75</f>
        <v>110.25</v>
      </c>
      <c r="N6" s="18">
        <f>B6*D6*0.1</f>
        <v>1.9600000000000002</v>
      </c>
      <c r="O6" s="19">
        <f t="shared" si="1"/>
        <v>0</v>
      </c>
      <c r="P6" s="18">
        <f t="shared" si="2"/>
        <v>226.38000000000002</v>
      </c>
      <c r="Q6" s="18">
        <f t="shared" si="3"/>
        <v>49.000000000000007</v>
      </c>
      <c r="R6" s="18">
        <v>0</v>
      </c>
      <c r="S6" s="18">
        <f>B6*D6*0.4</f>
        <v>7.8400000000000007</v>
      </c>
      <c r="T6" s="19">
        <v>0</v>
      </c>
      <c r="U6" s="20">
        <f t="shared" si="4"/>
        <v>58.800000000000011</v>
      </c>
    </row>
    <row r="7" spans="1:23" ht="48" x14ac:dyDescent="0.2">
      <c r="A7" s="70" t="s">
        <v>130</v>
      </c>
      <c r="B7" s="16">
        <v>14.9</v>
      </c>
      <c r="C7" s="99">
        <v>2.2999999999999998</v>
      </c>
      <c r="D7" s="16">
        <v>0.8</v>
      </c>
      <c r="E7" s="16" t="s">
        <v>38</v>
      </c>
      <c r="F7" s="16">
        <v>160</v>
      </c>
      <c r="G7" s="17">
        <f t="shared" si="0"/>
        <v>27.415999999999997</v>
      </c>
      <c r="H7" s="16" t="s">
        <v>47</v>
      </c>
      <c r="I7" s="16">
        <v>0</v>
      </c>
      <c r="J7" s="56" t="s">
        <v>175</v>
      </c>
      <c r="K7" s="16">
        <f>C7-0.4</f>
        <v>1.9</v>
      </c>
      <c r="L7" s="16">
        <v>0</v>
      </c>
      <c r="M7" s="18">
        <f>B7*C7*2*0.75</f>
        <v>51.404999999999994</v>
      </c>
      <c r="N7" s="18">
        <f>B7*D7*0.1</f>
        <v>1.1920000000000002</v>
      </c>
      <c r="O7" s="19">
        <f t="shared" si="1"/>
        <v>0</v>
      </c>
      <c r="P7" s="18">
        <f t="shared" si="2"/>
        <v>114.73</v>
      </c>
      <c r="Q7" s="18">
        <f t="shared" si="3"/>
        <v>21.456000000000003</v>
      </c>
      <c r="R7" s="18">
        <f>(B7-2.9)*D7*0.4</f>
        <v>3.8400000000000007</v>
      </c>
      <c r="S7" s="18">
        <f>2.9*D7*0.4</f>
        <v>0.92799999999999994</v>
      </c>
      <c r="T7" s="19">
        <f>(B7-2.9)*D7*0.15</f>
        <v>1.4400000000000002</v>
      </c>
      <c r="U7" s="20">
        <f t="shared" si="4"/>
        <v>27.416000000000004</v>
      </c>
    </row>
    <row r="8" spans="1:23" ht="24" x14ac:dyDescent="0.2">
      <c r="A8" s="70" t="s">
        <v>61</v>
      </c>
      <c r="B8" s="71">
        <v>25.1</v>
      </c>
      <c r="C8" s="114">
        <v>3</v>
      </c>
      <c r="D8" s="71">
        <v>0.8</v>
      </c>
      <c r="E8" s="71" t="s">
        <v>38</v>
      </c>
      <c r="F8" s="71">
        <v>160</v>
      </c>
      <c r="G8" s="72">
        <f t="shared" si="0"/>
        <v>60.240000000000009</v>
      </c>
      <c r="H8" s="71" t="s">
        <v>47</v>
      </c>
      <c r="I8" s="71"/>
      <c r="J8" s="83" t="s">
        <v>71</v>
      </c>
      <c r="K8" s="71">
        <f t="shared" ref="K8:K12" si="5">C8-0.4</f>
        <v>2.6</v>
      </c>
      <c r="L8" s="71">
        <v>0</v>
      </c>
      <c r="M8" s="73">
        <f t="shared" ref="M8:M11" si="6">B8*C8*2*0.75</f>
        <v>112.95000000000002</v>
      </c>
      <c r="N8" s="73">
        <f>B8*D8*0.1</f>
        <v>2.0080000000000005</v>
      </c>
      <c r="O8" s="74">
        <f t="shared" si="1"/>
        <v>0</v>
      </c>
      <c r="P8" s="73">
        <f t="shared" si="2"/>
        <v>231.92400000000006</v>
      </c>
      <c r="Q8" s="73">
        <f t="shared" si="3"/>
        <v>50.2</v>
      </c>
      <c r="R8" s="73">
        <f>B8*D8*0.3*0</f>
        <v>0</v>
      </c>
      <c r="S8" s="73">
        <f>B8*D8*0.4</f>
        <v>8.0320000000000018</v>
      </c>
      <c r="T8" s="74">
        <f>B8*D8*0.1*0</f>
        <v>0</v>
      </c>
      <c r="U8" s="75">
        <f t="shared" si="4"/>
        <v>60.240000000000009</v>
      </c>
    </row>
    <row r="9" spans="1:23" ht="48" x14ac:dyDescent="0.2">
      <c r="A9" s="15" t="s">
        <v>62</v>
      </c>
      <c r="B9" s="16">
        <v>27.1</v>
      </c>
      <c r="C9" s="99">
        <v>2.2000000000000002</v>
      </c>
      <c r="D9" s="16">
        <v>0.8</v>
      </c>
      <c r="E9" s="16" t="s">
        <v>38</v>
      </c>
      <c r="F9" s="16">
        <v>160</v>
      </c>
      <c r="G9" s="17">
        <f t="shared" si="0"/>
        <v>47.696000000000005</v>
      </c>
      <c r="H9" s="16" t="s">
        <v>47</v>
      </c>
      <c r="I9" s="16"/>
      <c r="J9" s="56" t="s">
        <v>176</v>
      </c>
      <c r="K9" s="16">
        <f>C9-0.4</f>
        <v>1.8000000000000003</v>
      </c>
      <c r="L9" s="16">
        <v>0</v>
      </c>
      <c r="M9" s="18">
        <f>B9*C9*2*0.75</f>
        <v>89.43</v>
      </c>
      <c r="N9" s="18">
        <f t="shared" ref="N9:N11" si="7">B9*D9*0.1</f>
        <v>2.1680000000000006</v>
      </c>
      <c r="O9" s="19">
        <f t="shared" si="1"/>
        <v>0</v>
      </c>
      <c r="P9" s="18">
        <f t="shared" si="2"/>
        <v>202.70800000000006</v>
      </c>
      <c r="Q9" s="18">
        <f t="shared" si="3"/>
        <v>36.856000000000016</v>
      </c>
      <c r="R9" s="18">
        <f>(B9*D9)*0.3*0</f>
        <v>0</v>
      </c>
      <c r="S9" s="18">
        <f>(B9*D9)*0.4</f>
        <v>8.6720000000000024</v>
      </c>
      <c r="T9" s="19">
        <f>(B9*D9)*0.1*0</f>
        <v>0</v>
      </c>
      <c r="U9" s="20">
        <f t="shared" si="4"/>
        <v>47.696000000000019</v>
      </c>
    </row>
    <row r="10" spans="1:23" ht="48" x14ac:dyDescent="0.2">
      <c r="A10" s="70" t="s">
        <v>63</v>
      </c>
      <c r="B10" s="16">
        <f>23.9-5</f>
        <v>18.899999999999999</v>
      </c>
      <c r="C10" s="99">
        <v>2.5</v>
      </c>
      <c r="D10" s="16">
        <v>0.8</v>
      </c>
      <c r="E10" s="16" t="s">
        <v>38</v>
      </c>
      <c r="F10" s="16">
        <v>160</v>
      </c>
      <c r="G10" s="17">
        <f t="shared" si="0"/>
        <v>37.800000000000004</v>
      </c>
      <c r="H10" s="16" t="s">
        <v>47</v>
      </c>
      <c r="I10" s="16">
        <v>0</v>
      </c>
      <c r="J10" s="56" t="s">
        <v>177</v>
      </c>
      <c r="K10" s="16">
        <f t="shared" si="5"/>
        <v>2.1</v>
      </c>
      <c r="L10" s="16">
        <v>0</v>
      </c>
      <c r="M10" s="18">
        <f t="shared" si="6"/>
        <v>70.875</v>
      </c>
      <c r="N10" s="18">
        <f>B10*D10*0.1</f>
        <v>1.512</v>
      </c>
      <c r="O10" s="19">
        <f t="shared" si="1"/>
        <v>0</v>
      </c>
      <c r="P10" s="18">
        <f t="shared" si="2"/>
        <v>153.84600000000003</v>
      </c>
      <c r="Q10" s="18">
        <f t="shared" si="3"/>
        <v>30.24</v>
      </c>
      <c r="R10" s="18">
        <f>(B10-2)*D10*0.4</f>
        <v>5.4080000000000004</v>
      </c>
      <c r="S10" s="18">
        <f>2*D10*0.4</f>
        <v>0.64000000000000012</v>
      </c>
      <c r="T10" s="19">
        <f>(B10-2)*D10*0.15</f>
        <v>2.028</v>
      </c>
      <c r="U10" s="20">
        <f t="shared" si="4"/>
        <v>37.799999999999997</v>
      </c>
      <c r="V10" s="27" t="s">
        <v>138</v>
      </c>
    </row>
    <row r="11" spans="1:23" ht="24" x14ac:dyDescent="0.2">
      <c r="A11" s="15" t="s">
        <v>64</v>
      </c>
      <c r="B11" s="16">
        <v>18.7</v>
      </c>
      <c r="C11" s="99">
        <v>2.5</v>
      </c>
      <c r="D11" s="16">
        <v>0.8</v>
      </c>
      <c r="E11" s="16" t="s">
        <v>38</v>
      </c>
      <c r="F11" s="16">
        <v>160</v>
      </c>
      <c r="G11" s="17">
        <f t="shared" si="0"/>
        <v>37.4</v>
      </c>
      <c r="H11" s="16" t="s">
        <v>47</v>
      </c>
      <c r="I11" s="16">
        <v>0</v>
      </c>
      <c r="J11" s="56" t="s">
        <v>71</v>
      </c>
      <c r="K11" s="16">
        <f t="shared" si="5"/>
        <v>2.1</v>
      </c>
      <c r="L11" s="16">
        <v>0</v>
      </c>
      <c r="M11" s="18">
        <f t="shared" si="6"/>
        <v>70.125</v>
      </c>
      <c r="N11" s="18">
        <f t="shared" si="7"/>
        <v>1.4960000000000002</v>
      </c>
      <c r="O11" s="19">
        <f t="shared" si="1"/>
        <v>0</v>
      </c>
      <c r="P11" s="18">
        <f t="shared" si="2"/>
        <v>152.21800000000002</v>
      </c>
      <c r="Q11" s="18">
        <f t="shared" si="3"/>
        <v>29.920000000000005</v>
      </c>
      <c r="R11" s="18">
        <f>B11*D11*0.3*0</f>
        <v>0</v>
      </c>
      <c r="S11" s="18">
        <f>B11*D11*0.4</f>
        <v>5.9840000000000009</v>
      </c>
      <c r="T11" s="19">
        <f>B11*D11*0.1*0</f>
        <v>0</v>
      </c>
      <c r="U11" s="20">
        <f t="shared" si="4"/>
        <v>37.400000000000006</v>
      </c>
    </row>
    <row r="12" spans="1:23" ht="48" x14ac:dyDescent="0.2">
      <c r="A12" s="15" t="s">
        <v>65</v>
      </c>
      <c r="B12" s="16">
        <v>40.799999999999997</v>
      </c>
      <c r="C12" s="99">
        <v>3.2</v>
      </c>
      <c r="D12" s="16">
        <v>0.8</v>
      </c>
      <c r="E12" s="16" t="s">
        <v>46</v>
      </c>
      <c r="F12" s="16">
        <v>200</v>
      </c>
      <c r="G12" s="17">
        <f t="shared" si="0"/>
        <v>104.44800000000001</v>
      </c>
      <c r="H12" s="16" t="s">
        <v>48</v>
      </c>
      <c r="I12" s="16">
        <v>0</v>
      </c>
      <c r="J12" s="56" t="s">
        <v>178</v>
      </c>
      <c r="K12" s="16">
        <f t="shared" si="5"/>
        <v>2.8000000000000003</v>
      </c>
      <c r="L12" s="16">
        <f>(F12/2000)^2*PI()</f>
        <v>3.1415926535897934E-2</v>
      </c>
      <c r="M12" s="18">
        <f>B12*C12*2*0.75</f>
        <v>195.84</v>
      </c>
      <c r="N12" s="18">
        <f>B12*D12*0.1</f>
        <v>3.2640000000000002</v>
      </c>
      <c r="O12" s="19">
        <f>B12*L12</f>
        <v>1.2817698026646356</v>
      </c>
      <c r="P12" s="18">
        <f t="shared" si="2"/>
        <v>394.94400000000007</v>
      </c>
      <c r="Q12" s="18">
        <f t="shared" si="3"/>
        <v>86.846230197335373</v>
      </c>
      <c r="R12" s="18">
        <f>29.8*D12*0</f>
        <v>0</v>
      </c>
      <c r="S12" s="18">
        <f>34.8*D12*0.4+6*D12*0.5</f>
        <v>13.536000000000001</v>
      </c>
      <c r="T12" s="19">
        <f>29.8*D12*0</f>
        <v>0</v>
      </c>
      <c r="U12" s="20">
        <f t="shared" si="4"/>
        <v>104.92800000000001</v>
      </c>
    </row>
    <row r="13" spans="1:23" ht="72" x14ac:dyDescent="0.2">
      <c r="A13" s="15" t="s">
        <v>72</v>
      </c>
      <c r="B13" s="32">
        <v>55.3</v>
      </c>
      <c r="C13" s="32">
        <v>2.4500000000000002</v>
      </c>
      <c r="D13" s="32">
        <v>0.8</v>
      </c>
      <c r="E13" s="16" t="s">
        <v>46</v>
      </c>
      <c r="F13" s="32">
        <v>200</v>
      </c>
      <c r="G13" s="89">
        <f t="shared" si="0"/>
        <v>108.38800000000002</v>
      </c>
      <c r="H13" s="16" t="s">
        <v>47</v>
      </c>
      <c r="I13" s="32"/>
      <c r="J13" s="56" t="s">
        <v>139</v>
      </c>
      <c r="K13" s="32">
        <f>C13-0.4</f>
        <v>2.0500000000000003</v>
      </c>
      <c r="L13" s="32">
        <f>(F13/2000)^2*PI()</f>
        <v>3.1415926535897934E-2</v>
      </c>
      <c r="M13" s="90">
        <f>B13*C13*2*0.75</f>
        <v>203.22750000000002</v>
      </c>
      <c r="N13" s="90">
        <f>B13*D13*0.1</f>
        <v>4.4240000000000004</v>
      </c>
      <c r="O13" s="91">
        <f>B13*L13</f>
        <v>1.7373007374351557</v>
      </c>
      <c r="P13" s="90">
        <f t="shared" si="2"/>
        <v>444.05900000000008</v>
      </c>
      <c r="Q13" s="90">
        <f t="shared" si="3"/>
        <v>84.530699262564866</v>
      </c>
      <c r="R13" s="18">
        <f>10.5*D13*0.4</f>
        <v>3.3600000000000003</v>
      </c>
      <c r="S13" s="18">
        <f>37.8*D13*0.4+7*D13*0.5</f>
        <v>14.896000000000001</v>
      </c>
      <c r="T13" s="19">
        <f>10.5*D13*0.15</f>
        <v>1.26</v>
      </c>
      <c r="U13" s="20">
        <f t="shared" si="4"/>
        <v>108.94800000000002</v>
      </c>
    </row>
    <row r="14" spans="1:23" ht="24" x14ac:dyDescent="0.2">
      <c r="A14" s="15" t="s">
        <v>66</v>
      </c>
      <c r="B14" s="32">
        <f>89.3-2.8</f>
        <v>86.5</v>
      </c>
      <c r="C14" s="32">
        <v>2.1</v>
      </c>
      <c r="D14" s="32">
        <v>1</v>
      </c>
      <c r="E14" s="16" t="s">
        <v>73</v>
      </c>
      <c r="F14" s="32">
        <v>300</v>
      </c>
      <c r="G14" s="89">
        <f t="shared" si="0"/>
        <v>181.65</v>
      </c>
      <c r="H14" s="16" t="s">
        <v>44</v>
      </c>
      <c r="I14" s="32" t="s">
        <v>140</v>
      </c>
      <c r="J14" s="56" t="s">
        <v>131</v>
      </c>
      <c r="K14" s="32">
        <f>C14-0.5</f>
        <v>1.6</v>
      </c>
      <c r="L14" s="32">
        <f>(F14/2000)^2*PI()</f>
        <v>7.0685834705770348E-2</v>
      </c>
      <c r="M14" s="90">
        <f>B14*C14*2*0.75</f>
        <v>272.47500000000002</v>
      </c>
      <c r="N14" s="90">
        <f>B14*D14*0.1</f>
        <v>8.65</v>
      </c>
      <c r="O14" s="91">
        <f>B14*L14</f>
        <v>6.1143247020491351</v>
      </c>
      <c r="P14" s="90">
        <f t="shared" si="2"/>
        <v>685.08</v>
      </c>
      <c r="Q14" s="90">
        <f t="shared" si="3"/>
        <v>123.63567529795087</v>
      </c>
      <c r="R14" s="18">
        <f>B14*D14*0.5</f>
        <v>43.25</v>
      </c>
      <c r="S14" s="18">
        <f>B14*D14*0</f>
        <v>0</v>
      </c>
      <c r="T14" s="19">
        <f>B14*D14*0.25</f>
        <v>21.625</v>
      </c>
      <c r="U14" s="20">
        <f t="shared" si="4"/>
        <v>181.65</v>
      </c>
    </row>
    <row r="15" spans="1:23" ht="24.75" thickBot="1" x14ac:dyDescent="0.25">
      <c r="A15" s="95" t="s">
        <v>127</v>
      </c>
      <c r="B15" s="59">
        <f>34.7+1</f>
        <v>35.700000000000003</v>
      </c>
      <c r="C15" s="59">
        <v>2</v>
      </c>
      <c r="D15" s="59">
        <v>1</v>
      </c>
      <c r="E15" s="59" t="s">
        <v>74</v>
      </c>
      <c r="F15" s="59">
        <v>500</v>
      </c>
      <c r="G15" s="60">
        <f t="shared" ref="G15" si="8">B15*C15*D15</f>
        <v>71.400000000000006</v>
      </c>
      <c r="H15" s="59" t="s">
        <v>48</v>
      </c>
      <c r="I15" s="93" t="s">
        <v>132</v>
      </c>
      <c r="J15" s="93" t="s">
        <v>131</v>
      </c>
      <c r="K15" s="92">
        <f>C15-0.5</f>
        <v>1.5</v>
      </c>
      <c r="L15" s="59">
        <f>(F15/2000)^2*PI()</f>
        <v>0.19634954084936207</v>
      </c>
      <c r="M15" s="61">
        <f>B15*C15*2*0.75</f>
        <v>107.10000000000001</v>
      </c>
      <c r="N15" s="61">
        <f>B15*D15*0.1</f>
        <v>3.5700000000000003</v>
      </c>
      <c r="O15" s="62">
        <f>B15*L15</f>
        <v>7.0096786083222264</v>
      </c>
      <c r="P15" s="61">
        <v>0</v>
      </c>
      <c r="Q15" s="61">
        <v>0</v>
      </c>
      <c r="R15" s="61">
        <f>((B15-15)*D15*K15)-N15-((B15-15)*L15)</f>
        <v>23.415564504418207</v>
      </c>
      <c r="S15" s="61">
        <f>B15*D15*0.5</f>
        <v>17.850000000000001</v>
      </c>
      <c r="T15" s="62">
        <v>0</v>
      </c>
      <c r="U15" s="63">
        <f>N15+O15+R15+Q15+S15+W16</f>
        <v>60.900000000000006</v>
      </c>
      <c r="V15" s="27" t="s">
        <v>141</v>
      </c>
    </row>
    <row r="16" spans="1:23" s="55" customFormat="1" ht="14.25" thickTop="1" thickBot="1" x14ac:dyDescent="0.25">
      <c r="A16" s="64" t="s">
        <v>49</v>
      </c>
      <c r="B16" s="65">
        <f>SUM(B5:B15)</f>
        <v>386.3</v>
      </c>
      <c r="C16" s="65"/>
      <c r="D16" s="65"/>
      <c r="E16" s="65"/>
      <c r="F16" s="65"/>
      <c r="G16" s="66">
        <f>SUM(G5:G15)</f>
        <v>812.83799999999997</v>
      </c>
      <c r="H16" s="65"/>
      <c r="I16" s="65"/>
      <c r="J16" s="65"/>
      <c r="K16" s="65"/>
      <c r="L16" s="65"/>
      <c r="M16" s="67">
        <f>SUM(M5:M15)</f>
        <v>1429.1775000000002</v>
      </c>
      <c r="N16" s="67">
        <f t="shared" ref="N16:Q16" si="9">SUM(N5:N15)</f>
        <v>33.348000000000006</v>
      </c>
      <c r="O16" s="67">
        <f t="shared" si="9"/>
        <v>16.143073850471154</v>
      </c>
      <c r="P16" s="67">
        <f t="shared" si="9"/>
        <v>2921.7210000000005</v>
      </c>
      <c r="Q16" s="67">
        <f t="shared" si="9"/>
        <v>574.7646047578512</v>
      </c>
      <c r="R16" s="67">
        <f>SUM(R5:R15)</f>
        <v>90.569564504418196</v>
      </c>
      <c r="S16" s="67">
        <f>SUM(S5:S15)</f>
        <v>79.498000000000019</v>
      </c>
      <c r="T16" s="67">
        <f>SUM(T5:T15)</f>
        <v>30.588999999999999</v>
      </c>
      <c r="U16" s="67">
        <f>SUM(U5:U15)</f>
        <v>803.37799999999993</v>
      </c>
      <c r="V16" s="57"/>
      <c r="W16" s="57">
        <f>(15*0.8*D15)-(L15*15)</f>
        <v>9.0547568872595683</v>
      </c>
    </row>
    <row r="17" spans="1:22" x14ac:dyDescent="0.2">
      <c r="A17" s="29"/>
      <c r="B17" s="29"/>
      <c r="C17" s="29"/>
      <c r="D17" s="29"/>
      <c r="E17" s="29"/>
      <c r="F17" s="29"/>
      <c r="G17" s="33"/>
      <c r="H17" s="29"/>
      <c r="I17" s="29"/>
      <c r="J17" s="29"/>
      <c r="K17" s="29"/>
      <c r="L17" s="29"/>
      <c r="M17" s="34"/>
      <c r="N17" s="35"/>
      <c r="O17" s="36"/>
      <c r="P17" s="34"/>
      <c r="Q17" s="34"/>
      <c r="R17" s="34"/>
      <c r="S17" s="34"/>
      <c r="T17" s="36"/>
      <c r="U17" s="34"/>
    </row>
    <row r="18" spans="1:22" ht="13.5" thickBot="1" x14ac:dyDescent="0.25">
      <c r="A18" s="5" t="s">
        <v>51</v>
      </c>
      <c r="B18" s="5"/>
      <c r="C18" s="5"/>
      <c r="D18" s="5"/>
      <c r="E18" s="5"/>
      <c r="F18" s="5"/>
      <c r="G18" s="6"/>
      <c r="H18" s="5"/>
      <c r="I18" s="5"/>
      <c r="J18" s="5"/>
      <c r="K18" s="5"/>
      <c r="L18" s="5"/>
      <c r="M18" s="7"/>
      <c r="N18" s="7"/>
      <c r="O18" s="8"/>
      <c r="P18" s="7"/>
      <c r="Q18" s="7"/>
      <c r="R18" s="7"/>
      <c r="S18" s="7"/>
      <c r="T18" s="5"/>
      <c r="U18" s="5"/>
    </row>
    <row r="19" spans="1:22" ht="48.75" thickBot="1" x14ac:dyDescent="0.25">
      <c r="A19" s="76" t="s">
        <v>1</v>
      </c>
      <c r="B19" s="77" t="s">
        <v>28</v>
      </c>
      <c r="C19" s="77" t="s">
        <v>29</v>
      </c>
      <c r="D19" s="77" t="s">
        <v>30</v>
      </c>
      <c r="E19" s="77" t="s">
        <v>33</v>
      </c>
      <c r="F19" s="77" t="s">
        <v>41</v>
      </c>
      <c r="G19" s="78" t="s">
        <v>31</v>
      </c>
      <c r="H19" s="77" t="s">
        <v>34</v>
      </c>
      <c r="I19" s="77" t="s">
        <v>5</v>
      </c>
      <c r="J19" s="77" t="s">
        <v>3</v>
      </c>
      <c r="K19" s="77" t="s">
        <v>6</v>
      </c>
      <c r="L19" s="79" t="s">
        <v>35</v>
      </c>
      <c r="M19" s="80" t="s">
        <v>36</v>
      </c>
      <c r="N19" s="80" t="s">
        <v>50</v>
      </c>
      <c r="O19" s="81" t="s">
        <v>45</v>
      </c>
      <c r="P19" s="80" t="s">
        <v>39</v>
      </c>
      <c r="Q19" s="80" t="s">
        <v>40</v>
      </c>
      <c r="R19" s="80" t="s">
        <v>42</v>
      </c>
      <c r="S19" s="80" t="s">
        <v>43</v>
      </c>
      <c r="T19" s="77" t="s">
        <v>11</v>
      </c>
      <c r="U19" s="82" t="s">
        <v>13</v>
      </c>
    </row>
    <row r="20" spans="1:22" ht="36" x14ac:dyDescent="0.2">
      <c r="A20" s="70" t="s">
        <v>69</v>
      </c>
      <c r="B20" s="71">
        <f>20+7.3</f>
        <v>27.3</v>
      </c>
      <c r="C20" s="71">
        <v>1.35</v>
      </c>
      <c r="D20" s="71">
        <v>0.5</v>
      </c>
      <c r="E20" s="71" t="s">
        <v>55</v>
      </c>
      <c r="F20" s="71">
        <v>150</v>
      </c>
      <c r="G20" s="72">
        <f>7.3*C20*D20</f>
        <v>4.9275000000000002</v>
      </c>
      <c r="H20" s="83" t="s">
        <v>134</v>
      </c>
      <c r="I20" s="83" t="s">
        <v>145</v>
      </c>
      <c r="J20" s="83" t="s">
        <v>143</v>
      </c>
      <c r="K20" s="71">
        <v>0.55000000000000004</v>
      </c>
      <c r="L20" s="71">
        <v>0</v>
      </c>
      <c r="M20" s="73">
        <v>0</v>
      </c>
      <c r="N20" s="73">
        <f>7.3*D20*0.1</f>
        <v>0.36499999999999999</v>
      </c>
      <c r="O20" s="74">
        <f>B20*L20</f>
        <v>0</v>
      </c>
      <c r="P20" s="73">
        <v>0</v>
      </c>
      <c r="Q20" s="106">
        <v>0</v>
      </c>
      <c r="R20" s="73">
        <f>(7.3*D20*K20)-N20-O20</f>
        <v>1.6425000000000003</v>
      </c>
      <c r="S20" s="73">
        <f>7.3*D20*0.4</f>
        <v>1.46</v>
      </c>
      <c r="T20" s="74">
        <f>7.3*D20*0.4</f>
        <v>1.46</v>
      </c>
      <c r="U20" s="75">
        <f>N20+O20+R20+Q20+S20</f>
        <v>3.4675000000000002</v>
      </c>
      <c r="V20" s="29" t="s">
        <v>144</v>
      </c>
    </row>
    <row r="21" spans="1:22" ht="48" x14ac:dyDescent="0.2">
      <c r="A21" s="70" t="s">
        <v>67</v>
      </c>
      <c r="B21" s="16">
        <v>25.8</v>
      </c>
      <c r="C21" s="16">
        <v>1.35</v>
      </c>
      <c r="D21" s="16"/>
      <c r="E21" s="71" t="s">
        <v>55</v>
      </c>
      <c r="F21" s="16">
        <v>150</v>
      </c>
      <c r="G21" s="72">
        <f>4.1*C21*D21</f>
        <v>0</v>
      </c>
      <c r="H21" s="83" t="s">
        <v>70</v>
      </c>
      <c r="I21" s="83" t="s">
        <v>146</v>
      </c>
      <c r="J21" s="83" t="s">
        <v>133</v>
      </c>
      <c r="K21" s="16">
        <v>0.55000000000000004</v>
      </c>
      <c r="L21" s="16">
        <v>0</v>
      </c>
      <c r="M21" s="18">
        <v>0</v>
      </c>
      <c r="N21" s="18">
        <f>4.1*D21*0.1</f>
        <v>0</v>
      </c>
      <c r="O21" s="19">
        <f>25.4*L21</f>
        <v>0</v>
      </c>
      <c r="P21" s="18">
        <v>0</v>
      </c>
      <c r="Q21" s="108">
        <f>(4.1*D21*K21)-N21-O21</f>
        <v>0</v>
      </c>
      <c r="R21" s="18">
        <f>4.1*D21*0</f>
        <v>0</v>
      </c>
      <c r="S21" s="18">
        <f>4.1*D21*0.3</f>
        <v>0</v>
      </c>
      <c r="T21" s="19">
        <f>4.1*D21*0.1*0</f>
        <v>0</v>
      </c>
      <c r="U21" s="20">
        <f t="shared" ref="U21:U23" si="10">N21+O21+R21+Q21+S21</f>
        <v>0</v>
      </c>
      <c r="V21" s="29" t="s">
        <v>79</v>
      </c>
    </row>
    <row r="22" spans="1:22" ht="24" x14ac:dyDescent="0.2">
      <c r="A22" s="70" t="s">
        <v>68</v>
      </c>
      <c r="B22" s="71">
        <v>40.1</v>
      </c>
      <c r="C22" s="71">
        <v>1.35</v>
      </c>
      <c r="D22" s="71"/>
      <c r="E22" s="71" t="s">
        <v>52</v>
      </c>
      <c r="F22" s="71">
        <v>300</v>
      </c>
      <c r="G22" s="72">
        <f>B22*C22*D22</f>
        <v>0</v>
      </c>
      <c r="H22" s="71" t="s">
        <v>56</v>
      </c>
      <c r="I22" s="71"/>
      <c r="J22" s="83" t="s">
        <v>136</v>
      </c>
      <c r="K22" s="71">
        <f>C22-0.5</f>
        <v>0.85000000000000009</v>
      </c>
      <c r="L22" s="71">
        <f>(F22/2000)^2*PI()</f>
        <v>7.0685834705770348E-2</v>
      </c>
      <c r="M22" s="73">
        <v>0</v>
      </c>
      <c r="N22" s="73">
        <f>B22*D22*0.1</f>
        <v>0</v>
      </c>
      <c r="O22" s="74">
        <f>B22*L22</f>
        <v>2.8345019717013908</v>
      </c>
      <c r="P22" s="73">
        <v>0</v>
      </c>
      <c r="Q22" s="106">
        <f>(B22*D22*K22)-N22-O22</f>
        <v>-2.8345019717013908</v>
      </c>
      <c r="R22" s="73">
        <f>B22*D22*0.3</f>
        <v>0</v>
      </c>
      <c r="S22" s="73">
        <f>B22*D22*0.3*0</f>
        <v>0</v>
      </c>
      <c r="T22" s="74">
        <f>B22*D22*0.1</f>
        <v>0</v>
      </c>
      <c r="U22" s="75">
        <f t="shared" si="10"/>
        <v>0</v>
      </c>
      <c r="V22" s="29" t="s">
        <v>81</v>
      </c>
    </row>
    <row r="23" spans="1:22" ht="24" x14ac:dyDescent="0.2">
      <c r="A23" s="70" t="s">
        <v>68</v>
      </c>
      <c r="B23" s="71">
        <v>47.3</v>
      </c>
      <c r="C23" s="71">
        <v>1.35</v>
      </c>
      <c r="D23" s="71"/>
      <c r="E23" s="71" t="s">
        <v>53</v>
      </c>
      <c r="F23" s="71">
        <v>250</v>
      </c>
      <c r="G23" s="72">
        <f>B23*C23*D23</f>
        <v>0</v>
      </c>
      <c r="H23" s="71" t="s">
        <v>147</v>
      </c>
      <c r="I23" s="71"/>
      <c r="J23" s="83" t="s">
        <v>136</v>
      </c>
      <c r="K23" s="71">
        <f>C23-0.5</f>
        <v>0.85000000000000009</v>
      </c>
      <c r="L23" s="71">
        <f>(F23/2000)^2*PI()</f>
        <v>4.9087385212340517E-2</v>
      </c>
      <c r="M23" s="73">
        <v>0</v>
      </c>
      <c r="N23" s="73">
        <f>B23*D23*0.1</f>
        <v>0</v>
      </c>
      <c r="O23" s="74">
        <f>B23*L23</f>
        <v>2.3218333205437065</v>
      </c>
      <c r="P23" s="73">
        <v>0</v>
      </c>
      <c r="Q23" s="106">
        <f>(B23*D23*K23)-N23-O23</f>
        <v>-2.3218333205437065</v>
      </c>
      <c r="R23" s="73">
        <f>B23*D23*0.3</f>
        <v>0</v>
      </c>
      <c r="S23" s="73">
        <f>B23*D23*0.3*0</f>
        <v>0</v>
      </c>
      <c r="T23" s="74">
        <f>B23*D23*0.1</f>
        <v>0</v>
      </c>
      <c r="U23" s="75">
        <f t="shared" si="10"/>
        <v>0</v>
      </c>
      <c r="V23" s="29" t="s">
        <v>81</v>
      </c>
    </row>
    <row r="24" spans="1:22" ht="36" x14ac:dyDescent="0.2">
      <c r="A24" s="70" t="s">
        <v>68</v>
      </c>
      <c r="B24" s="56">
        <f>39.2+2.8+4+3.7+2</f>
        <v>51.7</v>
      </c>
      <c r="C24" s="16">
        <v>1.35</v>
      </c>
      <c r="D24" s="16">
        <v>0.5</v>
      </c>
      <c r="E24" s="71" t="s">
        <v>55</v>
      </c>
      <c r="F24" s="16">
        <v>150</v>
      </c>
      <c r="G24" s="72">
        <f>(4+2.8+2+3.7)*C24*D24</f>
        <v>8.4375</v>
      </c>
      <c r="H24" s="83" t="s">
        <v>135</v>
      </c>
      <c r="I24" s="16"/>
      <c r="J24" s="83" t="s">
        <v>80</v>
      </c>
      <c r="K24" s="16">
        <v>0.55000000000000004</v>
      </c>
      <c r="L24" s="16">
        <v>0</v>
      </c>
      <c r="M24" s="18">
        <v>0</v>
      </c>
      <c r="N24" s="18">
        <f>(4+2.8+2+3.7)*D24*0.1</f>
        <v>0.625</v>
      </c>
      <c r="O24" s="19">
        <f>43.8*L24</f>
        <v>0</v>
      </c>
      <c r="P24" s="73">
        <v>0</v>
      </c>
      <c r="Q24" s="108">
        <v>0</v>
      </c>
      <c r="R24" s="18">
        <f>(12.5*D24*(K24+0.5))-N24-O24</f>
        <v>5.9375</v>
      </c>
      <c r="S24" s="18"/>
      <c r="T24" s="74">
        <f>12.5*D24*0.3</f>
        <v>1.875</v>
      </c>
      <c r="U24" s="20">
        <f>N24+O24+R24+Q24+S24</f>
        <v>6.5625</v>
      </c>
      <c r="V24" s="29" t="s">
        <v>148</v>
      </c>
    </row>
    <row r="25" spans="1:22" ht="13.5" thickBot="1" x14ac:dyDescent="0.25">
      <c r="A25" s="64" t="s">
        <v>49</v>
      </c>
      <c r="B25" s="65">
        <f>SUM(B20:B24)</f>
        <v>192.2</v>
      </c>
      <c r="C25" s="65"/>
      <c r="D25" s="65"/>
      <c r="E25" s="65"/>
      <c r="F25" s="65"/>
      <c r="G25" s="66">
        <f>SUM(G20:G24)</f>
        <v>13.365</v>
      </c>
      <c r="H25" s="65"/>
      <c r="I25" s="65"/>
      <c r="J25" s="65"/>
      <c r="K25" s="65"/>
      <c r="L25" s="65"/>
      <c r="M25" s="67">
        <f t="shared" ref="M25:U25" si="11">SUM(M20:M24)</f>
        <v>0</v>
      </c>
      <c r="N25" s="67">
        <f t="shared" si="11"/>
        <v>0.99</v>
      </c>
      <c r="O25" s="68">
        <f t="shared" si="11"/>
        <v>5.1563352922450978</v>
      </c>
      <c r="P25" s="67">
        <f t="shared" si="11"/>
        <v>0</v>
      </c>
      <c r="Q25" s="107">
        <f t="shared" si="11"/>
        <v>-5.1563352922450978</v>
      </c>
      <c r="R25" s="67">
        <f t="shared" si="11"/>
        <v>7.58</v>
      </c>
      <c r="S25" s="67">
        <f t="shared" si="11"/>
        <v>1.46</v>
      </c>
      <c r="T25" s="67">
        <f t="shared" si="11"/>
        <v>3.335</v>
      </c>
      <c r="U25" s="69">
        <f t="shared" si="11"/>
        <v>10.030000000000001</v>
      </c>
    </row>
    <row r="26" spans="1:22" x14ac:dyDescent="0.2">
      <c r="A26" s="29"/>
      <c r="B26" s="29"/>
      <c r="C26" s="29"/>
      <c r="D26" s="29"/>
      <c r="E26" s="29"/>
      <c r="F26" s="29"/>
      <c r="G26" s="33"/>
      <c r="H26" s="29"/>
      <c r="I26" s="29"/>
      <c r="J26" s="29"/>
      <c r="K26" s="29"/>
      <c r="L26" s="29"/>
      <c r="M26" s="34"/>
      <c r="N26" s="34"/>
      <c r="O26" s="36"/>
      <c r="P26" s="34"/>
      <c r="Q26" s="110"/>
      <c r="R26" s="34"/>
      <c r="S26" s="34"/>
      <c r="T26" s="36"/>
      <c r="U26" s="34"/>
    </row>
    <row r="27" spans="1:22" ht="13.5" thickBot="1" x14ac:dyDescent="0.25">
      <c r="A27" s="5" t="s">
        <v>142</v>
      </c>
      <c r="B27" s="5"/>
      <c r="C27" s="5"/>
      <c r="D27" s="5"/>
      <c r="E27" s="5"/>
      <c r="F27" s="5"/>
      <c r="G27" s="6"/>
      <c r="H27" s="5"/>
      <c r="I27" s="5"/>
      <c r="J27" s="5"/>
      <c r="K27" s="5"/>
      <c r="L27" s="5"/>
      <c r="M27" s="7"/>
      <c r="N27" s="7"/>
      <c r="O27" s="8"/>
      <c r="P27" s="7"/>
      <c r="Q27" s="111"/>
      <c r="R27" s="7"/>
      <c r="S27" s="7"/>
      <c r="T27" s="5"/>
      <c r="U27" s="5"/>
    </row>
    <row r="28" spans="1:22" ht="48.75" thickBot="1" x14ac:dyDescent="0.25">
      <c r="A28" s="76" t="s">
        <v>1</v>
      </c>
      <c r="B28" s="77" t="s">
        <v>28</v>
      </c>
      <c r="C28" s="77" t="s">
        <v>29</v>
      </c>
      <c r="D28" s="77" t="s">
        <v>30</v>
      </c>
      <c r="E28" s="77" t="s">
        <v>33</v>
      </c>
      <c r="F28" s="77" t="s">
        <v>41</v>
      </c>
      <c r="G28" s="78" t="s">
        <v>31</v>
      </c>
      <c r="H28" s="77" t="s">
        <v>34</v>
      </c>
      <c r="I28" s="77" t="s">
        <v>5</v>
      </c>
      <c r="J28" s="77" t="s">
        <v>3</v>
      </c>
      <c r="K28" s="77" t="s">
        <v>6</v>
      </c>
      <c r="L28" s="79" t="s">
        <v>35</v>
      </c>
      <c r="M28" s="80" t="s">
        <v>36</v>
      </c>
      <c r="N28" s="80" t="s">
        <v>50</v>
      </c>
      <c r="O28" s="81" t="s">
        <v>45</v>
      </c>
      <c r="P28" s="80" t="s">
        <v>39</v>
      </c>
      <c r="Q28" s="112" t="s">
        <v>40</v>
      </c>
      <c r="R28" s="80" t="s">
        <v>42</v>
      </c>
      <c r="S28" s="80" t="s">
        <v>43</v>
      </c>
      <c r="T28" s="77" t="s">
        <v>11</v>
      </c>
      <c r="U28" s="82" t="s">
        <v>13</v>
      </c>
    </row>
    <row r="29" spans="1:22" ht="38.25" x14ac:dyDescent="0.2">
      <c r="A29" s="70" t="s">
        <v>149</v>
      </c>
      <c r="B29" s="71">
        <v>55.5</v>
      </c>
      <c r="C29" s="71">
        <v>1</v>
      </c>
      <c r="D29" s="71">
        <v>0.5</v>
      </c>
      <c r="E29" s="71" t="s">
        <v>160</v>
      </c>
      <c r="F29" s="71">
        <v>32</v>
      </c>
      <c r="G29" s="72">
        <f>1.5*C29*D29</f>
        <v>0.75</v>
      </c>
      <c r="H29" s="83" t="s">
        <v>152</v>
      </c>
      <c r="I29" s="105" t="s">
        <v>171</v>
      </c>
      <c r="J29" s="56" t="s">
        <v>168</v>
      </c>
      <c r="K29" s="16">
        <v>0.5</v>
      </c>
      <c r="L29" s="71">
        <v>0</v>
      </c>
      <c r="M29" s="73">
        <v>0</v>
      </c>
      <c r="N29" s="73">
        <f>1.5*D29*0.1</f>
        <v>7.5000000000000011E-2</v>
      </c>
      <c r="O29" s="74">
        <f>B29*L29</f>
        <v>0</v>
      </c>
      <c r="P29" s="73">
        <v>0</v>
      </c>
      <c r="Q29" s="106">
        <v>0</v>
      </c>
      <c r="R29" s="73">
        <f>1.5*D29*K29</f>
        <v>0.375</v>
      </c>
      <c r="S29" s="73">
        <v>0</v>
      </c>
      <c r="T29" s="74">
        <f>1.5*D29*0.5</f>
        <v>0.375</v>
      </c>
      <c r="U29" s="75">
        <f>N29+O29+R29+Q29+S29</f>
        <v>0.45</v>
      </c>
      <c r="V29" s="29" t="s">
        <v>151</v>
      </c>
    </row>
    <row r="30" spans="1:22" ht="24" x14ac:dyDescent="0.2">
      <c r="A30" s="70" t="s">
        <v>150</v>
      </c>
      <c r="B30" s="71">
        <f>47.6+4.2</f>
        <v>51.800000000000004</v>
      </c>
      <c r="C30" s="71">
        <v>1.8</v>
      </c>
      <c r="D30" s="71">
        <v>0.5</v>
      </c>
      <c r="E30" s="71" t="s">
        <v>160</v>
      </c>
      <c r="F30" s="71">
        <v>32</v>
      </c>
      <c r="G30" s="72">
        <f>4.2*C30*D30</f>
        <v>3.7800000000000002</v>
      </c>
      <c r="H30" s="83" t="s">
        <v>152</v>
      </c>
      <c r="I30" s="83" t="s">
        <v>170</v>
      </c>
      <c r="J30" s="83" t="s">
        <v>78</v>
      </c>
      <c r="K30" s="71">
        <v>0.5</v>
      </c>
      <c r="L30" s="71">
        <v>0</v>
      </c>
      <c r="M30" s="73">
        <f>2*4.2*1.8*0.75</f>
        <v>11.34</v>
      </c>
      <c r="N30" s="73">
        <f>4.2*D30*0.1</f>
        <v>0.21000000000000002</v>
      </c>
      <c r="O30" s="74">
        <f>B30*L30</f>
        <v>0</v>
      </c>
      <c r="P30" s="73">
        <v>0</v>
      </c>
      <c r="Q30" s="106"/>
      <c r="R30" s="73">
        <f>(4.2*D30*K30)-N30-O30</f>
        <v>0.84000000000000008</v>
      </c>
      <c r="S30" s="73">
        <v>0</v>
      </c>
      <c r="T30" s="74">
        <f>4.2*D30*1.3</f>
        <v>2.7300000000000004</v>
      </c>
      <c r="U30" s="75">
        <f>N30+O30+R30+Q30+S30</f>
        <v>1.05</v>
      </c>
      <c r="V30" s="29" t="s">
        <v>153</v>
      </c>
    </row>
    <row r="31" spans="1:22" ht="13.5" thickBot="1" x14ac:dyDescent="0.25">
      <c r="A31" s="64" t="s">
        <v>49</v>
      </c>
      <c r="B31" s="65">
        <f>SUM(B29:B30)</f>
        <v>107.30000000000001</v>
      </c>
      <c r="C31" s="65"/>
      <c r="D31" s="65"/>
      <c r="E31" s="65"/>
      <c r="F31" s="65"/>
      <c r="G31" s="66">
        <f>SUM(G29:G30)</f>
        <v>4.53</v>
      </c>
      <c r="H31" s="65"/>
      <c r="I31" s="65"/>
      <c r="J31" s="65"/>
      <c r="K31" s="65"/>
      <c r="L31" s="65"/>
      <c r="M31" s="67">
        <f t="shared" ref="M31:U31" si="12">SUM(M29:M30)</f>
        <v>11.34</v>
      </c>
      <c r="N31" s="67">
        <f t="shared" si="12"/>
        <v>0.28500000000000003</v>
      </c>
      <c r="O31" s="68">
        <f t="shared" si="12"/>
        <v>0</v>
      </c>
      <c r="P31" s="67">
        <f t="shared" si="12"/>
        <v>0</v>
      </c>
      <c r="Q31" s="107">
        <f t="shared" si="12"/>
        <v>0</v>
      </c>
      <c r="R31" s="67">
        <f t="shared" si="12"/>
        <v>1.2150000000000001</v>
      </c>
      <c r="S31" s="67">
        <f t="shared" si="12"/>
        <v>0</v>
      </c>
      <c r="T31" s="67">
        <f t="shared" si="12"/>
        <v>3.1050000000000004</v>
      </c>
      <c r="U31" s="69">
        <f t="shared" si="12"/>
        <v>1.5</v>
      </c>
    </row>
    <row r="32" spans="1:22" ht="13.5" thickBot="1" x14ac:dyDescent="0.25">
      <c r="A32" s="29"/>
      <c r="B32" s="29"/>
      <c r="C32" s="29"/>
      <c r="D32" s="29"/>
      <c r="E32" s="29"/>
      <c r="F32" s="29"/>
      <c r="G32" s="33"/>
      <c r="H32" s="29"/>
      <c r="I32" s="29"/>
      <c r="J32" s="29"/>
      <c r="K32" s="29"/>
      <c r="L32" s="29"/>
      <c r="M32" s="34"/>
      <c r="N32" s="34"/>
      <c r="O32" s="36"/>
      <c r="P32" s="34"/>
      <c r="Q32" s="110"/>
      <c r="R32" s="34"/>
      <c r="S32" s="34"/>
      <c r="T32" s="36"/>
      <c r="U32" s="34"/>
    </row>
    <row r="33" spans="1:25" ht="13.5" thickBot="1" x14ac:dyDescent="0.25">
      <c r="A33" s="84" t="s">
        <v>106</v>
      </c>
      <c r="B33" s="85">
        <f>SUM(B16,B25,B31)</f>
        <v>685.8</v>
      </c>
      <c r="C33" s="86"/>
      <c r="D33" s="86"/>
      <c r="E33" s="86"/>
      <c r="F33" s="86"/>
      <c r="G33" s="87">
        <f>SUM(G25,G16,G31)</f>
        <v>830.73299999999995</v>
      </c>
      <c r="H33" s="86"/>
      <c r="I33" s="86"/>
      <c r="J33" s="86"/>
      <c r="K33" s="86"/>
      <c r="L33" s="86"/>
      <c r="M33" s="87">
        <f t="shared" ref="M33:U33" si="13">SUM(M25,M16,M31)</f>
        <v>1440.5175000000002</v>
      </c>
      <c r="N33" s="87">
        <f t="shared" si="13"/>
        <v>34.623000000000005</v>
      </c>
      <c r="O33" s="87">
        <f t="shared" si="13"/>
        <v>21.29940914271625</v>
      </c>
      <c r="P33" s="87">
        <f t="shared" si="13"/>
        <v>2921.7210000000005</v>
      </c>
      <c r="Q33" s="113">
        <f t="shared" si="13"/>
        <v>569.6082694656061</v>
      </c>
      <c r="R33" s="87">
        <f t="shared" si="13"/>
        <v>99.364564504418198</v>
      </c>
      <c r="S33" s="87">
        <f t="shared" si="13"/>
        <v>80.958000000000013</v>
      </c>
      <c r="T33" s="87">
        <f t="shared" si="13"/>
        <v>37.028999999999996</v>
      </c>
      <c r="U33" s="87">
        <f t="shared" si="13"/>
        <v>814.9079999999999</v>
      </c>
    </row>
    <row r="34" spans="1:25" x14ac:dyDescent="0.2">
      <c r="A34" s="29"/>
      <c r="B34" s="29"/>
      <c r="C34" s="29"/>
      <c r="D34" s="29"/>
      <c r="E34" s="29"/>
      <c r="F34" s="29"/>
      <c r="G34" s="33"/>
      <c r="H34" s="29"/>
      <c r="I34" s="29"/>
      <c r="J34" s="29"/>
      <c r="K34" s="29"/>
      <c r="L34" s="29"/>
      <c r="M34" s="34"/>
      <c r="N34" s="34"/>
      <c r="O34" s="36"/>
      <c r="P34" s="34"/>
      <c r="Q34" s="110"/>
      <c r="R34" s="34"/>
      <c r="S34" s="34"/>
      <c r="T34" s="36"/>
      <c r="U34" s="34"/>
    </row>
    <row r="35" spans="1:25" x14ac:dyDescent="0.2">
      <c r="A35" s="29" t="s">
        <v>57</v>
      </c>
      <c r="B35" s="29"/>
      <c r="C35" s="29"/>
      <c r="D35" s="29">
        <f>SUM(D36:D38)</f>
        <v>439.1</v>
      </c>
      <c r="E35" s="29" t="s">
        <v>60</v>
      </c>
      <c r="F35" s="29"/>
      <c r="G35" s="33"/>
      <c r="H35" s="29"/>
      <c r="I35" s="29"/>
      <c r="J35" s="29"/>
      <c r="K35" s="29"/>
      <c r="L35" s="29"/>
      <c r="M35" s="34"/>
      <c r="N35" s="34"/>
      <c r="O35" s="36"/>
      <c r="P35" s="34"/>
      <c r="Q35" s="110"/>
      <c r="R35" s="34"/>
      <c r="S35" s="34"/>
      <c r="T35" s="36"/>
      <c r="U35" s="34"/>
    </row>
    <row r="36" spans="1:25" x14ac:dyDescent="0.2">
      <c r="A36" s="29"/>
      <c r="B36" s="29" t="s">
        <v>58</v>
      </c>
      <c r="C36" s="29"/>
      <c r="D36" s="29">
        <f>B16</f>
        <v>386.3</v>
      </c>
      <c r="E36" s="29" t="s">
        <v>60</v>
      </c>
      <c r="F36" s="29"/>
      <c r="G36" s="33"/>
      <c r="H36" s="29"/>
      <c r="I36" s="29"/>
      <c r="J36" s="29"/>
      <c r="K36" s="29"/>
      <c r="L36" s="29"/>
      <c r="M36" s="34"/>
      <c r="N36" s="34"/>
      <c r="O36" s="36"/>
      <c r="P36" s="34"/>
      <c r="Q36" s="110"/>
      <c r="R36" s="34"/>
      <c r="S36" s="34"/>
      <c r="T36" s="36"/>
      <c r="U36" s="34"/>
      <c r="Y36" s="29"/>
    </row>
    <row r="37" spans="1:25" x14ac:dyDescent="0.2">
      <c r="A37" s="29"/>
      <c r="B37" s="29" t="s">
        <v>59</v>
      </c>
      <c r="C37" s="29"/>
      <c r="D37" s="29">
        <f>B20+(4+2.8+2+3.7+7.3)</f>
        <v>47.1</v>
      </c>
      <c r="E37" s="29" t="s">
        <v>60</v>
      </c>
      <c r="F37" s="29"/>
      <c r="G37" s="33"/>
      <c r="H37" s="29"/>
      <c r="I37" s="29"/>
      <c r="J37" s="29"/>
      <c r="K37" s="29"/>
      <c r="L37" s="29"/>
      <c r="M37" s="34"/>
      <c r="N37" s="34"/>
      <c r="O37" s="36"/>
      <c r="P37" s="34"/>
      <c r="Q37" s="110"/>
      <c r="R37" s="34"/>
      <c r="S37" s="34"/>
      <c r="T37" s="36"/>
      <c r="U37" s="34"/>
      <c r="Y37" s="29"/>
    </row>
    <row r="38" spans="1:25" x14ac:dyDescent="0.2">
      <c r="A38" s="29"/>
      <c r="B38" s="29" t="s">
        <v>154</v>
      </c>
      <c r="C38" s="29"/>
      <c r="D38" s="29">
        <f>1.5+4.2</f>
        <v>5.7</v>
      </c>
      <c r="E38" s="29" t="s">
        <v>60</v>
      </c>
      <c r="F38" s="29"/>
      <c r="G38" s="33"/>
      <c r="H38" s="29"/>
      <c r="I38" s="29"/>
      <c r="J38" s="29"/>
      <c r="K38" s="29"/>
      <c r="L38" s="29"/>
      <c r="M38" s="34"/>
      <c r="N38" s="34"/>
      <c r="O38" s="36"/>
      <c r="P38" s="34"/>
      <c r="Q38" s="110"/>
      <c r="R38" s="34"/>
      <c r="S38" s="34"/>
      <c r="T38" s="36"/>
      <c r="U38" s="34"/>
      <c r="Y38" s="29"/>
    </row>
    <row r="39" spans="1:25" ht="13.5" thickBot="1" x14ac:dyDescent="0.25">
      <c r="A39" s="5" t="s">
        <v>84</v>
      </c>
      <c r="B39" s="5"/>
      <c r="C39" s="5"/>
      <c r="D39" s="5"/>
      <c r="E39" s="5"/>
      <c r="F39" s="5"/>
      <c r="G39" s="6"/>
      <c r="H39" s="5"/>
      <c r="I39" s="5"/>
      <c r="J39" s="5"/>
      <c r="K39" s="5"/>
      <c r="L39" s="5"/>
      <c r="M39" s="7"/>
      <c r="N39" s="7"/>
      <c r="O39" s="8"/>
      <c r="P39" s="7"/>
      <c r="Q39" s="111"/>
      <c r="R39" s="7"/>
      <c r="S39" s="7"/>
      <c r="T39" s="5"/>
      <c r="U39" s="5"/>
      <c r="Y39" s="29"/>
    </row>
    <row r="40" spans="1:25" ht="48.75" thickBot="1" x14ac:dyDescent="0.25">
      <c r="A40" s="76" t="s">
        <v>1</v>
      </c>
      <c r="B40" s="77" t="s">
        <v>28</v>
      </c>
      <c r="C40" s="77" t="s">
        <v>29</v>
      </c>
      <c r="D40" s="77" t="s">
        <v>30</v>
      </c>
      <c r="E40" s="77" t="s">
        <v>87</v>
      </c>
      <c r="F40" s="77" t="s">
        <v>41</v>
      </c>
      <c r="G40" s="78" t="s">
        <v>31</v>
      </c>
      <c r="H40" s="77" t="s">
        <v>34</v>
      </c>
      <c r="I40" s="77" t="s">
        <v>93</v>
      </c>
      <c r="J40" s="77" t="s">
        <v>3</v>
      </c>
      <c r="K40" s="77" t="s">
        <v>6</v>
      </c>
      <c r="L40" s="79" t="s">
        <v>35</v>
      </c>
      <c r="M40" s="80" t="s">
        <v>36</v>
      </c>
      <c r="N40" s="80" t="s">
        <v>50</v>
      </c>
      <c r="O40" s="81" t="s">
        <v>45</v>
      </c>
      <c r="P40" s="80" t="s">
        <v>39</v>
      </c>
      <c r="Q40" s="112" t="s">
        <v>40</v>
      </c>
      <c r="R40" s="80" t="s">
        <v>42</v>
      </c>
      <c r="S40" s="80" t="s">
        <v>92</v>
      </c>
      <c r="T40" s="77" t="s">
        <v>11</v>
      </c>
      <c r="U40" s="82" t="s">
        <v>13</v>
      </c>
      <c r="Y40" s="30"/>
    </row>
    <row r="41" spans="1:25" ht="38.25" x14ac:dyDescent="0.2">
      <c r="A41" s="96" t="s">
        <v>85</v>
      </c>
      <c r="B41" s="71">
        <v>3.4</v>
      </c>
      <c r="C41" s="71">
        <v>2.65</v>
      </c>
      <c r="D41" s="71">
        <v>2.9</v>
      </c>
      <c r="E41" s="71" t="s">
        <v>88</v>
      </c>
      <c r="F41" s="71">
        <v>2460</v>
      </c>
      <c r="G41" s="72">
        <f>B41*C41*D41</f>
        <v>26.128999999999998</v>
      </c>
      <c r="H41" s="83" t="s">
        <v>155</v>
      </c>
      <c r="I41" s="97" t="s">
        <v>95</v>
      </c>
      <c r="J41" s="56" t="s">
        <v>90</v>
      </c>
      <c r="K41" s="16">
        <v>0</v>
      </c>
      <c r="L41" s="71">
        <f>(F41/2000)^2*PI()</f>
        <v>4.7529155256159976</v>
      </c>
      <c r="M41" s="73">
        <f>(B41*C41+D41*C41)*2</f>
        <v>33.39</v>
      </c>
      <c r="N41" s="73">
        <f>B41*D41*0.1</f>
        <v>0.98599999999999999</v>
      </c>
      <c r="O41" s="74">
        <f>L41*3</f>
        <v>14.258746576847994</v>
      </c>
      <c r="P41" s="73">
        <v>0</v>
      </c>
      <c r="Q41" s="106">
        <v>0</v>
      </c>
      <c r="R41" s="73">
        <v>0</v>
      </c>
      <c r="S41" s="73">
        <f>G41-O41-N41</f>
        <v>10.884253423152003</v>
      </c>
      <c r="T41" s="74">
        <v>0</v>
      </c>
      <c r="U41" s="75">
        <f>N41+O41+R41+Q41+S41</f>
        <v>26.128999999999998</v>
      </c>
      <c r="Y41" s="29"/>
    </row>
    <row r="42" spans="1:25" ht="24" x14ac:dyDescent="0.2">
      <c r="A42" s="96" t="s">
        <v>86</v>
      </c>
      <c r="B42" s="71">
        <v>4.4000000000000004</v>
      </c>
      <c r="C42" s="71">
        <v>2.4500000000000002</v>
      </c>
      <c r="D42" s="71">
        <v>3.9</v>
      </c>
      <c r="E42" s="71" t="s">
        <v>89</v>
      </c>
      <c r="F42" s="71">
        <v>1000</v>
      </c>
      <c r="G42" s="72">
        <f>B42*C42*D42</f>
        <v>42.042000000000002</v>
      </c>
      <c r="H42" s="83" t="s">
        <v>91</v>
      </c>
      <c r="I42" s="56" t="s">
        <v>94</v>
      </c>
      <c r="J42" s="56" t="s">
        <v>137</v>
      </c>
      <c r="K42" s="16">
        <f>C42-0.25-0.5</f>
        <v>1.7000000000000002</v>
      </c>
      <c r="L42" s="71">
        <f>(F42/2000)^2*PI()</f>
        <v>0.78539816339744828</v>
      </c>
      <c r="M42" s="73">
        <f>(B42*C42+D42*C42)*2</f>
        <v>40.67</v>
      </c>
      <c r="N42" s="73">
        <v>0</v>
      </c>
      <c r="O42" s="74">
        <f>L42*C42</f>
        <v>1.9242255003237485</v>
      </c>
      <c r="P42" s="73">
        <f>((B42*2*C42)+(D42*2*C42)+(B42*D42))*1.2</f>
        <v>69.396000000000001</v>
      </c>
      <c r="Q42" s="106">
        <f>(B42*D42*K42)-O42</f>
        <v>27.247774499676254</v>
      </c>
      <c r="R42" s="73">
        <f>B42*D42*0.25</f>
        <v>4.29</v>
      </c>
      <c r="S42" s="73">
        <f>((B42*D42)-(0.5*0.5*PI()))*0.25</f>
        <v>4.0936504591506377</v>
      </c>
      <c r="T42" s="74">
        <f>B42*D42*0.25</f>
        <v>4.29</v>
      </c>
      <c r="U42" s="75">
        <f>N42+O42+R42+Q42+S42</f>
        <v>37.555650459150641</v>
      </c>
      <c r="Y42" s="29"/>
    </row>
    <row r="43" spans="1:25" ht="13.5" thickBot="1" x14ac:dyDescent="0.25">
      <c r="A43" s="29"/>
      <c r="B43" s="29"/>
      <c r="C43" s="29"/>
      <c r="D43" s="29"/>
      <c r="E43" s="29"/>
      <c r="F43" s="29"/>
      <c r="G43" s="33"/>
      <c r="H43" s="29"/>
      <c r="I43" s="29"/>
      <c r="J43" s="29"/>
      <c r="K43" s="29"/>
      <c r="L43" s="29"/>
      <c r="M43" s="34"/>
      <c r="N43" s="34"/>
      <c r="O43" s="36"/>
      <c r="P43" s="34"/>
      <c r="Q43" s="110"/>
      <c r="R43" s="34"/>
      <c r="S43" s="34"/>
      <c r="T43" s="36"/>
      <c r="U43" s="34"/>
      <c r="Y43" s="29"/>
    </row>
    <row r="44" spans="1:25" ht="13.5" thickBot="1" x14ac:dyDescent="0.25">
      <c r="A44" s="84" t="s">
        <v>107</v>
      </c>
      <c r="B44" s="85"/>
      <c r="C44" s="86"/>
      <c r="D44" s="86"/>
      <c r="E44" s="86"/>
      <c r="F44" s="86"/>
      <c r="G44" s="87">
        <f>SUM(G41:G42)</f>
        <v>68.170999999999992</v>
      </c>
      <c r="H44" s="86"/>
      <c r="I44" s="86"/>
      <c r="J44" s="86"/>
      <c r="K44" s="86"/>
      <c r="L44" s="86"/>
      <c r="M44" s="87">
        <f>SUM(M41:M42,)</f>
        <v>74.06</v>
      </c>
      <c r="N44" s="87">
        <f>SUM(N41:N42,)</f>
        <v>0.98599999999999999</v>
      </c>
      <c r="O44" s="87">
        <f t="shared" ref="O44:U44" si="14">SUM(O41:O42)</f>
        <v>16.18297207717174</v>
      </c>
      <c r="P44" s="87">
        <f t="shared" si="14"/>
        <v>69.396000000000001</v>
      </c>
      <c r="Q44" s="113">
        <f t="shared" si="14"/>
        <v>27.247774499676254</v>
      </c>
      <c r="R44" s="87">
        <f t="shared" si="14"/>
        <v>4.29</v>
      </c>
      <c r="S44" s="87">
        <f t="shared" si="14"/>
        <v>14.977903882302641</v>
      </c>
      <c r="T44" s="87">
        <f t="shared" si="14"/>
        <v>4.29</v>
      </c>
      <c r="U44" s="88">
        <f t="shared" si="14"/>
        <v>63.684650459150639</v>
      </c>
    </row>
    <row r="45" spans="1:25" x14ac:dyDescent="0.2">
      <c r="A45" s="37"/>
      <c r="B45" s="37"/>
      <c r="C45" s="37"/>
      <c r="D45" s="37"/>
      <c r="E45" s="37"/>
      <c r="F45" s="37"/>
      <c r="G45" s="38"/>
      <c r="H45" s="37"/>
      <c r="I45" s="37"/>
      <c r="J45" s="37"/>
      <c r="K45" s="37"/>
      <c r="L45" s="37"/>
      <c r="M45" s="39"/>
      <c r="N45" s="39"/>
      <c r="O45" s="40"/>
      <c r="P45" s="39"/>
      <c r="Q45" s="39"/>
      <c r="R45" s="39"/>
      <c r="S45" s="39"/>
      <c r="T45" s="40"/>
      <c r="U45" s="39"/>
    </row>
    <row r="46" spans="1:25" s="1" customFormat="1" ht="37.5" customHeight="1" x14ac:dyDescent="0.2">
      <c r="A46" s="41"/>
      <c r="B46" s="41"/>
      <c r="C46" s="41"/>
      <c r="D46" s="41"/>
      <c r="E46" s="41"/>
      <c r="F46" s="41"/>
      <c r="G46" s="42"/>
      <c r="H46" s="41"/>
      <c r="I46" s="41"/>
      <c r="J46" s="41"/>
      <c r="K46" s="41"/>
      <c r="L46" s="41"/>
      <c r="M46" s="43"/>
      <c r="N46" s="43"/>
      <c r="O46" s="44"/>
      <c r="P46" s="43"/>
      <c r="Q46" s="43"/>
      <c r="R46" s="43"/>
      <c r="S46" s="43"/>
      <c r="T46" s="41"/>
      <c r="U46" s="41"/>
      <c r="V46" s="28"/>
      <c r="W46" s="27"/>
    </row>
    <row r="47" spans="1:25" x14ac:dyDescent="0.2">
      <c r="A47" s="37"/>
      <c r="B47" s="37"/>
      <c r="C47" s="37"/>
      <c r="D47" s="37"/>
      <c r="E47" s="37"/>
      <c r="F47" s="37"/>
      <c r="G47" s="38"/>
      <c r="H47" s="37"/>
      <c r="I47" s="37"/>
      <c r="J47" s="37"/>
      <c r="K47" s="37"/>
      <c r="L47" s="37"/>
      <c r="M47" s="39"/>
      <c r="N47" s="39"/>
      <c r="O47" s="40"/>
      <c r="P47" s="39"/>
      <c r="Q47" s="39"/>
      <c r="R47" s="39"/>
      <c r="S47" s="39"/>
      <c r="T47" s="40"/>
      <c r="U47" s="39"/>
    </row>
    <row r="48" spans="1:25" x14ac:dyDescent="0.2">
      <c r="A48" s="37"/>
      <c r="B48" s="37"/>
      <c r="C48" s="37"/>
      <c r="D48" s="37"/>
      <c r="E48" s="37"/>
      <c r="F48" s="37"/>
      <c r="G48" s="38"/>
      <c r="H48" s="37"/>
      <c r="I48" s="37"/>
      <c r="J48" s="37"/>
      <c r="K48" s="37"/>
      <c r="L48" s="37"/>
      <c r="M48" s="39"/>
      <c r="N48" s="39"/>
      <c r="O48" s="40"/>
      <c r="P48" s="39"/>
      <c r="Q48" s="39"/>
      <c r="R48" s="39"/>
      <c r="S48" s="39"/>
      <c r="T48" s="40"/>
      <c r="U48" s="39"/>
    </row>
    <row r="49" spans="1:21" x14ac:dyDescent="0.2">
      <c r="A49" s="37"/>
      <c r="B49" s="37"/>
      <c r="C49" s="37"/>
      <c r="D49" s="37"/>
      <c r="E49" s="37"/>
      <c r="F49" s="37"/>
      <c r="G49" s="38"/>
      <c r="H49" s="37"/>
      <c r="I49" s="37"/>
      <c r="J49" s="37"/>
      <c r="K49" s="37"/>
      <c r="L49" s="37"/>
      <c r="M49" s="39"/>
      <c r="N49" s="39"/>
      <c r="O49" s="40"/>
      <c r="P49" s="39"/>
      <c r="Q49" s="39"/>
      <c r="R49" s="39"/>
      <c r="S49" s="39"/>
      <c r="T49" s="40"/>
      <c r="U49" s="39"/>
    </row>
    <row r="50" spans="1:21" x14ac:dyDescent="0.2">
      <c r="A50" s="37"/>
      <c r="B50" s="37"/>
      <c r="C50" s="37"/>
      <c r="D50" s="37"/>
      <c r="E50" s="37"/>
      <c r="F50" s="37"/>
      <c r="G50" s="38"/>
      <c r="H50" s="37"/>
      <c r="I50" s="37"/>
      <c r="J50" s="37"/>
      <c r="K50" s="37"/>
      <c r="L50" s="37"/>
      <c r="M50" s="39"/>
      <c r="N50" s="39"/>
      <c r="O50" s="40"/>
      <c r="P50" s="39"/>
      <c r="Q50" s="39"/>
      <c r="R50" s="39"/>
      <c r="S50" s="39"/>
      <c r="T50" s="40"/>
      <c r="U50" s="39"/>
    </row>
    <row r="51" spans="1:21" x14ac:dyDescent="0.2">
      <c r="A51" s="37"/>
      <c r="B51" s="37"/>
      <c r="C51" s="37"/>
      <c r="D51" s="37"/>
      <c r="E51" s="37"/>
      <c r="F51" s="37"/>
      <c r="G51" s="38"/>
      <c r="H51" s="37"/>
      <c r="I51" s="37"/>
      <c r="J51" s="37"/>
      <c r="K51" s="37"/>
      <c r="L51" s="37"/>
      <c r="M51" s="39"/>
      <c r="N51" s="39"/>
      <c r="O51" s="40"/>
      <c r="P51" s="39"/>
      <c r="Q51" s="39"/>
      <c r="R51" s="39"/>
      <c r="S51" s="39"/>
      <c r="T51" s="40"/>
      <c r="U51" s="39"/>
    </row>
    <row r="52" spans="1:21" x14ac:dyDescent="0.2">
      <c r="A52" s="37"/>
      <c r="B52" s="37"/>
      <c r="C52" s="37"/>
      <c r="D52" s="37"/>
      <c r="E52" s="37"/>
      <c r="F52" s="37"/>
      <c r="G52" s="38"/>
      <c r="H52" s="37"/>
      <c r="I52" s="37"/>
      <c r="J52" s="37"/>
      <c r="K52" s="37"/>
      <c r="L52" s="37"/>
      <c r="M52" s="39"/>
      <c r="N52" s="39"/>
      <c r="O52" s="40"/>
      <c r="P52" s="39"/>
      <c r="Q52" s="39"/>
      <c r="R52" s="39"/>
      <c r="S52" s="39"/>
      <c r="T52" s="40"/>
      <c r="U52" s="39"/>
    </row>
    <row r="53" spans="1:21" x14ac:dyDescent="0.2">
      <c r="A53" s="37"/>
      <c r="B53" s="37"/>
      <c r="C53" s="37"/>
      <c r="D53" s="37"/>
      <c r="E53" s="37"/>
      <c r="F53" s="37"/>
      <c r="G53" s="38"/>
      <c r="H53" s="37"/>
      <c r="I53" s="37"/>
      <c r="J53" s="37"/>
      <c r="K53" s="37"/>
      <c r="L53" s="37"/>
      <c r="M53" s="39"/>
      <c r="N53" s="39"/>
      <c r="O53" s="40"/>
      <c r="P53" s="39"/>
      <c r="Q53" s="39"/>
      <c r="R53" s="39"/>
      <c r="S53" s="39"/>
      <c r="T53" s="40"/>
      <c r="U53" s="39"/>
    </row>
    <row r="54" spans="1:21" x14ac:dyDescent="0.2">
      <c r="A54" s="37"/>
      <c r="B54" s="37"/>
      <c r="C54" s="37"/>
      <c r="D54" s="37"/>
      <c r="E54" s="37"/>
      <c r="F54" s="37"/>
      <c r="G54" s="38"/>
      <c r="H54" s="37"/>
      <c r="I54" s="37"/>
      <c r="J54" s="37"/>
      <c r="K54" s="37"/>
      <c r="L54" s="37"/>
      <c r="M54" s="39"/>
      <c r="N54" s="39"/>
      <c r="O54" s="40"/>
      <c r="P54" s="39"/>
      <c r="Q54" s="39"/>
      <c r="R54" s="39"/>
      <c r="S54" s="39"/>
      <c r="T54" s="40"/>
      <c r="U54" s="39"/>
    </row>
    <row r="55" spans="1:21" x14ac:dyDescent="0.2">
      <c r="A55" s="37"/>
      <c r="B55" s="37"/>
      <c r="C55" s="37"/>
      <c r="D55" s="37"/>
      <c r="E55" s="37"/>
      <c r="F55" s="37"/>
      <c r="G55" s="38"/>
      <c r="H55" s="37"/>
      <c r="I55" s="37"/>
      <c r="J55" s="37"/>
      <c r="K55" s="37"/>
      <c r="L55" s="37"/>
      <c r="M55" s="39"/>
      <c r="N55" s="39"/>
      <c r="O55" s="40"/>
      <c r="P55" s="39"/>
      <c r="Q55" s="39"/>
      <c r="R55" s="39"/>
      <c r="S55" s="39"/>
      <c r="T55" s="40"/>
      <c r="U55" s="39"/>
    </row>
    <row r="56" spans="1:21" x14ac:dyDescent="0.2">
      <c r="A56" s="37"/>
      <c r="B56" s="37"/>
      <c r="C56" s="37"/>
      <c r="D56" s="37"/>
      <c r="E56" s="37"/>
      <c r="F56" s="37"/>
      <c r="G56" s="38"/>
      <c r="H56" s="37"/>
      <c r="I56" s="37"/>
      <c r="J56" s="37"/>
      <c r="K56" s="37"/>
      <c r="L56" s="37"/>
      <c r="M56" s="39"/>
      <c r="N56" s="39"/>
      <c r="O56" s="40"/>
      <c r="P56" s="39"/>
      <c r="Q56" s="39"/>
      <c r="R56" s="39"/>
      <c r="S56" s="39"/>
      <c r="T56" s="40"/>
      <c r="U56" s="39"/>
    </row>
    <row r="57" spans="1:21" x14ac:dyDescent="0.2">
      <c r="A57" s="37"/>
      <c r="B57" s="37"/>
      <c r="C57" s="37"/>
      <c r="D57" s="37"/>
      <c r="E57" s="37"/>
      <c r="F57" s="37"/>
      <c r="G57" s="38"/>
      <c r="H57" s="37"/>
      <c r="I57" s="37"/>
      <c r="J57" s="37"/>
      <c r="K57" s="37"/>
      <c r="L57" s="37"/>
      <c r="M57" s="39"/>
      <c r="N57" s="39"/>
      <c r="O57" s="40"/>
      <c r="P57" s="39"/>
      <c r="Q57" s="39"/>
      <c r="R57" s="39"/>
      <c r="S57" s="39"/>
      <c r="T57" s="40"/>
      <c r="U57" s="39"/>
    </row>
    <row r="58" spans="1:21" x14ac:dyDescent="0.2">
      <c r="A58" s="37"/>
      <c r="B58" s="37"/>
      <c r="C58" s="37"/>
      <c r="D58" s="37"/>
      <c r="E58" s="37"/>
      <c r="F58" s="37"/>
      <c r="G58" s="38"/>
      <c r="H58" s="37"/>
      <c r="I58" s="37"/>
      <c r="J58" s="37"/>
      <c r="K58" s="37"/>
      <c r="L58" s="37"/>
      <c r="M58" s="39"/>
      <c r="N58" s="39"/>
      <c r="O58" s="40"/>
      <c r="P58" s="39"/>
      <c r="Q58" s="39"/>
      <c r="R58" s="39"/>
      <c r="S58" s="39"/>
      <c r="T58" s="40"/>
      <c r="U58" s="39"/>
    </row>
    <row r="59" spans="1:21" x14ac:dyDescent="0.2">
      <c r="A59" s="37"/>
      <c r="B59" s="37"/>
      <c r="C59" s="37"/>
      <c r="D59" s="37"/>
      <c r="E59" s="37"/>
      <c r="F59" s="37"/>
      <c r="G59" s="38"/>
      <c r="H59" s="37"/>
      <c r="I59" s="37"/>
      <c r="J59" s="37"/>
      <c r="K59" s="37"/>
      <c r="L59" s="37"/>
      <c r="M59" s="39"/>
      <c r="N59" s="39"/>
      <c r="O59" s="40"/>
      <c r="P59" s="39"/>
      <c r="Q59" s="39"/>
      <c r="R59" s="39"/>
      <c r="S59" s="39"/>
      <c r="T59" s="40"/>
      <c r="U59" s="39"/>
    </row>
    <row r="60" spans="1:21" x14ac:dyDescent="0.2">
      <c r="A60" s="37"/>
      <c r="B60" s="37"/>
      <c r="C60" s="37"/>
      <c r="D60" s="37"/>
      <c r="E60" s="37"/>
      <c r="F60" s="37"/>
      <c r="G60" s="38"/>
      <c r="H60" s="37"/>
      <c r="I60" s="37"/>
      <c r="J60" s="37"/>
      <c r="K60" s="37"/>
      <c r="L60" s="37"/>
      <c r="M60" s="39"/>
      <c r="N60" s="39"/>
      <c r="O60" s="40"/>
      <c r="P60" s="39"/>
      <c r="Q60" s="39"/>
      <c r="R60" s="39"/>
      <c r="S60" s="39"/>
      <c r="T60" s="40"/>
      <c r="U60" s="39"/>
    </row>
    <row r="61" spans="1:21" x14ac:dyDescent="0.2">
      <c r="A61" s="37"/>
      <c r="B61" s="37"/>
      <c r="C61" s="37"/>
      <c r="D61" s="37"/>
      <c r="E61" s="37"/>
      <c r="F61" s="37"/>
      <c r="G61" s="38"/>
      <c r="H61" s="37"/>
      <c r="I61" s="37"/>
      <c r="J61" s="37"/>
      <c r="K61" s="37"/>
      <c r="L61" s="37"/>
      <c r="M61" s="39"/>
      <c r="N61" s="39"/>
      <c r="O61" s="40"/>
      <c r="P61" s="39"/>
      <c r="Q61" s="39"/>
      <c r="R61" s="39"/>
      <c r="S61" s="39"/>
      <c r="T61" s="40"/>
      <c r="U61" s="39"/>
    </row>
    <row r="62" spans="1:21" x14ac:dyDescent="0.2">
      <c r="A62" s="5"/>
      <c r="B62" s="5"/>
      <c r="C62" s="5"/>
      <c r="D62" s="5"/>
      <c r="E62" s="5"/>
      <c r="F62" s="5"/>
      <c r="G62" s="6"/>
      <c r="H62" s="5"/>
      <c r="I62" s="5"/>
      <c r="J62" s="5"/>
      <c r="K62" s="5"/>
      <c r="L62" s="5"/>
      <c r="M62" s="7"/>
      <c r="N62" s="7"/>
      <c r="O62" s="8"/>
      <c r="P62" s="7"/>
      <c r="Q62" s="7"/>
      <c r="R62" s="7"/>
      <c r="S62" s="7"/>
      <c r="T62" s="8"/>
      <c r="U62" s="7"/>
    </row>
    <row r="63" spans="1:21" x14ac:dyDescent="0.2">
      <c r="A63" s="5"/>
      <c r="B63" s="5"/>
      <c r="C63" s="5"/>
      <c r="D63" s="5"/>
      <c r="E63" s="5"/>
      <c r="F63" s="5"/>
      <c r="G63" s="6"/>
      <c r="H63" s="5"/>
      <c r="I63" s="5"/>
      <c r="J63" s="5"/>
      <c r="K63" s="5"/>
      <c r="L63" s="5"/>
      <c r="M63" s="7"/>
      <c r="N63" s="7"/>
      <c r="O63" s="8"/>
      <c r="P63" s="7"/>
      <c r="Q63" s="7"/>
      <c r="R63" s="7"/>
      <c r="S63" s="7"/>
      <c r="T63" s="8"/>
      <c r="U63" s="7"/>
    </row>
    <row r="64" spans="1:21" x14ac:dyDescent="0.2">
      <c r="A64" s="5"/>
      <c r="B64" s="5"/>
      <c r="C64" s="5"/>
      <c r="D64" s="5"/>
      <c r="E64" s="5"/>
      <c r="F64" s="5"/>
      <c r="G64" s="6"/>
      <c r="H64" s="5"/>
      <c r="I64" s="5"/>
      <c r="J64" s="5"/>
      <c r="K64" s="5"/>
      <c r="L64" s="5"/>
      <c r="M64" s="7"/>
      <c r="N64" s="7"/>
      <c r="O64" s="8"/>
      <c r="P64" s="7"/>
      <c r="Q64" s="7"/>
      <c r="R64" s="7"/>
      <c r="S64" s="7"/>
      <c r="T64" s="8"/>
      <c r="U64" s="7"/>
    </row>
    <row r="65" spans="1:21" x14ac:dyDescent="0.2">
      <c r="A65" s="5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7"/>
      <c r="N65" s="7"/>
      <c r="O65" s="8"/>
      <c r="P65" s="7"/>
      <c r="Q65" s="7"/>
      <c r="R65" s="7"/>
      <c r="S65" s="7"/>
      <c r="T65" s="8"/>
      <c r="U65" s="7"/>
    </row>
    <row r="66" spans="1:21" x14ac:dyDescent="0.2">
      <c r="A66" s="5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7"/>
      <c r="N66" s="7"/>
      <c r="O66" s="8"/>
      <c r="P66" s="7"/>
      <c r="Q66" s="7"/>
      <c r="R66" s="7"/>
      <c r="S66" s="7"/>
      <c r="T66" s="8"/>
      <c r="U66" s="7"/>
    </row>
    <row r="67" spans="1:21" x14ac:dyDescent="0.2">
      <c r="A67" s="5"/>
      <c r="B67" s="5"/>
      <c r="C67" s="5"/>
      <c r="D67" s="5"/>
      <c r="E67" s="5"/>
      <c r="F67" s="5"/>
      <c r="G67" s="6"/>
      <c r="H67" s="5"/>
      <c r="I67" s="5"/>
      <c r="J67" s="5"/>
      <c r="K67" s="5"/>
      <c r="L67" s="5"/>
      <c r="M67" s="7"/>
      <c r="N67" s="7"/>
      <c r="O67" s="8"/>
      <c r="P67" s="7"/>
      <c r="Q67" s="7"/>
      <c r="R67" s="7"/>
      <c r="S67" s="7"/>
      <c r="T67" s="8"/>
      <c r="U67" s="7"/>
    </row>
    <row r="68" spans="1:21" x14ac:dyDescent="0.2">
      <c r="A68" s="5"/>
      <c r="B68" s="5"/>
      <c r="C68" s="5"/>
      <c r="D68" s="5"/>
      <c r="E68" s="5"/>
      <c r="F68" s="5"/>
      <c r="G68" s="6"/>
      <c r="H68" s="5"/>
      <c r="I68" s="5"/>
      <c r="J68" s="5"/>
      <c r="K68" s="5"/>
      <c r="L68" s="5"/>
      <c r="M68" s="7"/>
      <c r="N68" s="7"/>
      <c r="O68" s="8"/>
      <c r="P68" s="7"/>
      <c r="Q68" s="7"/>
      <c r="R68" s="7"/>
      <c r="S68" s="7"/>
      <c r="T68" s="8"/>
      <c r="U68" s="7"/>
    </row>
    <row r="69" spans="1:21" x14ac:dyDescent="0.2">
      <c r="A69" s="5"/>
      <c r="B69" s="5"/>
      <c r="C69" s="5"/>
      <c r="D69" s="5"/>
      <c r="E69" s="5"/>
      <c r="F69" s="5"/>
      <c r="G69" s="6"/>
      <c r="H69" s="5"/>
      <c r="I69" s="5"/>
      <c r="J69" s="5"/>
      <c r="K69" s="5"/>
      <c r="L69" s="5"/>
      <c r="M69" s="7"/>
      <c r="N69" s="7"/>
      <c r="O69" s="8"/>
      <c r="P69" s="7"/>
      <c r="Q69" s="7"/>
      <c r="R69" s="7"/>
      <c r="S69" s="7"/>
      <c r="T69" s="8"/>
      <c r="U69" s="7"/>
    </row>
    <row r="70" spans="1:21" x14ac:dyDescent="0.2">
      <c r="A70" s="5"/>
      <c r="B70" s="5"/>
      <c r="C70" s="5"/>
      <c r="D70" s="5"/>
      <c r="E70" s="5"/>
      <c r="F70" s="5"/>
      <c r="G70" s="6"/>
      <c r="H70" s="5"/>
      <c r="I70" s="5"/>
      <c r="J70" s="5"/>
      <c r="K70" s="5"/>
      <c r="L70" s="5"/>
      <c r="M70" s="7"/>
      <c r="N70" s="7"/>
      <c r="O70" s="8"/>
      <c r="P70" s="7"/>
      <c r="Q70" s="7"/>
      <c r="R70" s="7"/>
      <c r="S70" s="7"/>
      <c r="T70" s="8"/>
      <c r="U70" s="7"/>
    </row>
    <row r="71" spans="1:21" x14ac:dyDescent="0.2">
      <c r="A71" s="5"/>
      <c r="B71" s="5"/>
      <c r="C71" s="5"/>
      <c r="D71" s="5"/>
      <c r="E71" s="5"/>
      <c r="F71" s="5"/>
      <c r="G71" s="6"/>
      <c r="H71" s="5"/>
      <c r="I71" s="5"/>
      <c r="J71" s="5"/>
      <c r="K71" s="5"/>
      <c r="L71" s="5"/>
      <c r="M71" s="7"/>
      <c r="N71" s="7"/>
      <c r="O71" s="8"/>
      <c r="P71" s="7"/>
      <c r="Q71" s="7"/>
      <c r="R71" s="7"/>
      <c r="S71" s="7"/>
      <c r="T71" s="8"/>
      <c r="U71" s="7"/>
    </row>
    <row r="72" spans="1:21" x14ac:dyDescent="0.2">
      <c r="A72" s="5"/>
      <c r="B72" s="5"/>
      <c r="C72" s="5"/>
      <c r="D72" s="5"/>
      <c r="E72" s="5"/>
      <c r="F72" s="5"/>
      <c r="G72" s="6"/>
      <c r="H72" s="5"/>
      <c r="I72" s="5"/>
      <c r="J72" s="5"/>
      <c r="K72" s="5"/>
      <c r="L72" s="5"/>
      <c r="M72" s="7"/>
      <c r="N72" s="7"/>
      <c r="O72" s="8"/>
      <c r="P72" s="7"/>
      <c r="Q72" s="7"/>
      <c r="R72" s="7"/>
      <c r="S72" s="7"/>
      <c r="T72" s="8"/>
      <c r="U72" s="7"/>
    </row>
    <row r="73" spans="1:21" x14ac:dyDescent="0.2">
      <c r="A73" s="5"/>
      <c r="B73" s="5"/>
      <c r="C73" s="5"/>
      <c r="D73" s="5"/>
      <c r="E73" s="5"/>
      <c r="F73" s="5"/>
      <c r="G73" s="6"/>
      <c r="H73" s="5"/>
      <c r="I73" s="5"/>
      <c r="J73" s="5"/>
      <c r="K73" s="5"/>
      <c r="L73" s="5"/>
      <c r="M73" s="7"/>
      <c r="N73" s="7"/>
      <c r="O73" s="8"/>
      <c r="P73" s="7"/>
      <c r="Q73" s="7"/>
      <c r="R73" s="7"/>
      <c r="S73" s="7"/>
      <c r="T73" s="8"/>
      <c r="U73" s="7"/>
    </row>
    <row r="74" spans="1:21" x14ac:dyDescent="0.2">
      <c r="A74" s="5"/>
      <c r="B74" s="5"/>
      <c r="C74" s="5"/>
      <c r="D74" s="5"/>
      <c r="E74" s="5"/>
      <c r="F74" s="5"/>
      <c r="G74" s="6"/>
      <c r="H74" s="5"/>
      <c r="I74" s="5"/>
      <c r="J74" s="5"/>
      <c r="K74" s="5"/>
      <c r="L74" s="5"/>
      <c r="M74" s="7"/>
      <c r="N74" s="7"/>
      <c r="O74" s="8"/>
      <c r="P74" s="7"/>
      <c r="Q74" s="7"/>
      <c r="R74" s="7"/>
      <c r="S74" s="7"/>
      <c r="T74" s="8"/>
      <c r="U74" s="7"/>
    </row>
    <row r="75" spans="1:21" x14ac:dyDescent="0.2">
      <c r="A75" s="5"/>
      <c r="B75" s="5"/>
      <c r="C75" s="5"/>
      <c r="D75" s="5"/>
      <c r="E75" s="5"/>
      <c r="F75" s="5"/>
      <c r="G75" s="6"/>
      <c r="H75" s="5"/>
      <c r="I75" s="5"/>
      <c r="J75" s="5"/>
      <c r="K75" s="5"/>
      <c r="L75" s="5"/>
      <c r="M75" s="7"/>
      <c r="N75" s="7"/>
      <c r="O75" s="8"/>
      <c r="P75" s="7"/>
      <c r="Q75" s="7"/>
      <c r="R75" s="7"/>
      <c r="S75" s="7"/>
      <c r="T75" s="8"/>
      <c r="U75" s="7"/>
    </row>
    <row r="76" spans="1:21" x14ac:dyDescent="0.2">
      <c r="A76" s="5"/>
      <c r="B76" s="5"/>
      <c r="C76" s="5"/>
      <c r="D76" s="5"/>
      <c r="E76" s="5"/>
      <c r="F76" s="5"/>
      <c r="G76" s="6"/>
      <c r="H76" s="5"/>
      <c r="I76" s="5"/>
      <c r="J76" s="5"/>
      <c r="K76" s="5"/>
      <c r="L76" s="5"/>
      <c r="M76" s="7"/>
      <c r="N76" s="7"/>
      <c r="O76" s="8"/>
      <c r="P76" s="7"/>
      <c r="Q76" s="7"/>
      <c r="R76" s="7"/>
      <c r="S76" s="7"/>
      <c r="T76" s="8"/>
      <c r="U76" s="7"/>
    </row>
    <row r="77" spans="1:21" x14ac:dyDescent="0.2">
      <c r="A77" s="5"/>
      <c r="B77" s="5"/>
      <c r="C77" s="5"/>
      <c r="D77" s="5"/>
      <c r="E77" s="5"/>
      <c r="F77" s="5"/>
      <c r="G77" s="6"/>
      <c r="H77" s="5"/>
      <c r="I77" s="5"/>
      <c r="J77" s="5"/>
      <c r="K77" s="5"/>
      <c r="L77" s="5"/>
      <c r="M77" s="7"/>
      <c r="N77" s="7"/>
      <c r="O77" s="8"/>
      <c r="P77" s="7"/>
      <c r="Q77" s="7"/>
      <c r="R77" s="7"/>
      <c r="S77" s="7"/>
      <c r="T77" s="8"/>
      <c r="U77" s="7"/>
    </row>
    <row r="78" spans="1:21" x14ac:dyDescent="0.2">
      <c r="A78" s="5"/>
      <c r="B78" s="5"/>
      <c r="C78" s="5"/>
      <c r="D78" s="5"/>
      <c r="E78" s="5"/>
      <c r="F78" s="5"/>
      <c r="G78" s="6"/>
      <c r="H78" s="5"/>
      <c r="I78" s="5"/>
      <c r="J78" s="5"/>
      <c r="K78" s="5"/>
      <c r="L78" s="5"/>
      <c r="M78" s="7"/>
      <c r="N78" s="7"/>
      <c r="O78" s="8"/>
      <c r="P78" s="7"/>
      <c r="Q78" s="7"/>
      <c r="R78" s="7"/>
      <c r="S78" s="7"/>
      <c r="T78" s="8"/>
      <c r="U78" s="7"/>
    </row>
    <row r="79" spans="1:21" x14ac:dyDescent="0.2">
      <c r="A79" s="5"/>
      <c r="B79" s="5"/>
      <c r="C79" s="5"/>
      <c r="D79" s="5"/>
      <c r="E79" s="5"/>
      <c r="F79" s="5"/>
      <c r="G79" s="6"/>
      <c r="H79" s="5"/>
      <c r="I79" s="5"/>
      <c r="J79" s="5"/>
      <c r="K79" s="5"/>
      <c r="L79" s="5"/>
      <c r="M79" s="7"/>
      <c r="N79" s="7"/>
      <c r="O79" s="8"/>
      <c r="P79" s="7"/>
      <c r="Q79" s="7"/>
      <c r="R79" s="7"/>
      <c r="S79" s="7"/>
      <c r="T79" s="8"/>
      <c r="U79" s="7"/>
    </row>
    <row r="80" spans="1:21" x14ac:dyDescent="0.2">
      <c r="A80" s="5"/>
      <c r="B80" s="5"/>
      <c r="C80" s="5"/>
      <c r="D80" s="5"/>
      <c r="E80" s="5"/>
      <c r="F80" s="5"/>
      <c r="G80" s="6"/>
      <c r="H80" s="5"/>
      <c r="I80" s="5"/>
      <c r="J80" s="5"/>
      <c r="K80" s="5"/>
      <c r="L80" s="5"/>
      <c r="M80" s="7"/>
      <c r="N80" s="7"/>
      <c r="O80" s="8"/>
      <c r="P80" s="7"/>
      <c r="Q80" s="7"/>
      <c r="R80" s="7"/>
      <c r="S80" s="7"/>
      <c r="T80" s="8"/>
      <c r="U80" s="7"/>
    </row>
    <row r="81" spans="1:21" x14ac:dyDescent="0.2">
      <c r="A81" s="5"/>
      <c r="B81" s="5"/>
      <c r="C81" s="5"/>
      <c r="D81" s="5"/>
      <c r="E81" s="5"/>
      <c r="F81" s="5"/>
      <c r="G81" s="6"/>
      <c r="H81" s="5"/>
      <c r="I81" s="5"/>
      <c r="J81" s="5"/>
      <c r="K81" s="5"/>
      <c r="L81" s="5"/>
      <c r="M81" s="7"/>
      <c r="N81" s="7"/>
      <c r="O81" s="8"/>
      <c r="P81" s="7"/>
      <c r="Q81" s="7"/>
      <c r="R81" s="7"/>
      <c r="S81" s="7"/>
      <c r="T81" s="8"/>
      <c r="U81" s="7"/>
    </row>
    <row r="82" spans="1:21" x14ac:dyDescent="0.2">
      <c r="A82" s="5"/>
      <c r="B82" s="5"/>
      <c r="C82" s="5"/>
      <c r="D82" s="5"/>
      <c r="E82" s="5"/>
      <c r="F82" s="5"/>
      <c r="G82" s="6"/>
      <c r="H82" s="5"/>
      <c r="I82" s="5"/>
      <c r="J82" s="5"/>
      <c r="K82" s="5"/>
      <c r="L82" s="5"/>
      <c r="M82" s="7"/>
      <c r="N82" s="7"/>
      <c r="O82" s="8"/>
      <c r="P82" s="7"/>
      <c r="Q82" s="7"/>
      <c r="R82" s="7"/>
      <c r="S82" s="7"/>
      <c r="T82" s="8"/>
      <c r="U82" s="7"/>
    </row>
    <row r="83" spans="1:21" x14ac:dyDescent="0.2">
      <c r="A83" s="5"/>
      <c r="B83" s="5"/>
      <c r="C83" s="5"/>
      <c r="D83" s="5"/>
      <c r="E83" s="5"/>
      <c r="F83" s="5"/>
      <c r="G83" s="6"/>
      <c r="H83" s="5"/>
      <c r="I83" s="5"/>
      <c r="J83" s="5"/>
      <c r="K83" s="5"/>
      <c r="L83" s="5"/>
      <c r="M83" s="7"/>
      <c r="N83" s="7"/>
      <c r="O83" s="8"/>
      <c r="P83" s="7"/>
      <c r="Q83" s="7"/>
      <c r="R83" s="7"/>
      <c r="S83" s="7"/>
      <c r="T83" s="8"/>
      <c r="U83" s="7"/>
    </row>
    <row r="84" spans="1:21" x14ac:dyDescent="0.2">
      <c r="A84" s="5"/>
      <c r="B84" s="5"/>
      <c r="C84" s="5"/>
      <c r="D84" s="5"/>
      <c r="E84" s="5"/>
      <c r="F84" s="5"/>
      <c r="G84" s="6"/>
      <c r="H84" s="5"/>
      <c r="I84" s="5"/>
      <c r="J84" s="5"/>
      <c r="K84" s="5"/>
      <c r="L84" s="5"/>
      <c r="M84" s="7"/>
      <c r="N84" s="7"/>
      <c r="O84" s="8"/>
      <c r="P84" s="7"/>
      <c r="Q84" s="7"/>
      <c r="R84" s="7"/>
      <c r="S84" s="7"/>
      <c r="T84" s="8"/>
      <c r="U84" s="7"/>
    </row>
    <row r="85" spans="1:21" x14ac:dyDescent="0.2">
      <c r="A85" s="5"/>
      <c r="B85" s="5"/>
      <c r="C85" s="5"/>
      <c r="D85" s="5"/>
      <c r="E85" s="5"/>
      <c r="F85" s="5"/>
      <c r="G85" s="6"/>
      <c r="H85" s="5"/>
      <c r="I85" s="5"/>
      <c r="J85" s="5"/>
      <c r="K85" s="5"/>
      <c r="L85" s="5"/>
      <c r="M85" s="7"/>
      <c r="N85" s="7"/>
      <c r="O85" s="8"/>
      <c r="P85" s="7"/>
      <c r="Q85" s="7"/>
      <c r="R85" s="7"/>
      <c r="S85" s="7"/>
      <c r="T85" s="8"/>
      <c r="U85" s="7"/>
    </row>
    <row r="86" spans="1:21" x14ac:dyDescent="0.2">
      <c r="A86" s="5"/>
      <c r="B86" s="5"/>
      <c r="C86" s="5"/>
      <c r="D86" s="5"/>
      <c r="E86" s="5"/>
      <c r="F86" s="5"/>
      <c r="G86" s="6"/>
      <c r="H86" s="5"/>
      <c r="I86" s="5"/>
      <c r="J86" s="5"/>
      <c r="K86" s="5"/>
      <c r="L86" s="5"/>
      <c r="M86" s="7"/>
      <c r="N86" s="7"/>
      <c r="O86" s="8"/>
      <c r="P86" s="7"/>
      <c r="Q86" s="7"/>
      <c r="R86" s="7"/>
      <c r="S86" s="7"/>
      <c r="T86" s="8"/>
      <c r="U86" s="7"/>
    </row>
    <row r="87" spans="1:21" x14ac:dyDescent="0.2">
      <c r="A87" s="5"/>
      <c r="B87" s="5"/>
      <c r="C87" s="5"/>
      <c r="D87" s="5"/>
      <c r="E87" s="5"/>
      <c r="F87" s="5"/>
      <c r="G87" s="6"/>
      <c r="H87" s="5"/>
      <c r="I87" s="5"/>
      <c r="J87" s="5"/>
      <c r="K87" s="5"/>
      <c r="L87" s="5"/>
      <c r="M87" s="7"/>
      <c r="N87" s="7"/>
      <c r="O87" s="8"/>
      <c r="P87" s="7"/>
      <c r="Q87" s="7"/>
      <c r="R87" s="7"/>
      <c r="S87" s="7"/>
      <c r="T87" s="8"/>
      <c r="U87" s="7"/>
    </row>
    <row r="88" spans="1:21" x14ac:dyDescent="0.2">
      <c r="A88" s="5"/>
      <c r="B88" s="5"/>
      <c r="C88" s="5"/>
      <c r="D88" s="5"/>
      <c r="E88" s="5"/>
      <c r="F88" s="5"/>
      <c r="G88" s="6"/>
      <c r="H88" s="5"/>
      <c r="I88" s="5"/>
      <c r="J88" s="5"/>
      <c r="K88" s="5"/>
      <c r="L88" s="5"/>
      <c r="M88" s="7"/>
      <c r="N88" s="7"/>
      <c r="O88" s="8"/>
      <c r="P88" s="7"/>
      <c r="Q88" s="7"/>
      <c r="R88" s="7"/>
      <c r="S88" s="7"/>
      <c r="T88" s="8"/>
      <c r="U88" s="7"/>
    </row>
    <row r="89" spans="1:21" x14ac:dyDescent="0.2">
      <c r="A89" s="5"/>
      <c r="B89" s="5"/>
      <c r="C89" s="5"/>
      <c r="D89" s="5"/>
      <c r="E89" s="5"/>
      <c r="F89" s="5"/>
      <c r="G89" s="6"/>
      <c r="H89" s="5"/>
      <c r="I89" s="5"/>
      <c r="J89" s="5"/>
      <c r="K89" s="5"/>
      <c r="L89" s="5"/>
      <c r="M89" s="7"/>
      <c r="N89" s="7"/>
      <c r="O89" s="8"/>
      <c r="P89" s="7"/>
      <c r="Q89" s="7"/>
      <c r="R89" s="7"/>
      <c r="S89" s="7"/>
      <c r="T89" s="8"/>
      <c r="U89" s="7"/>
    </row>
    <row r="90" spans="1:21" x14ac:dyDescent="0.2">
      <c r="A90" s="5"/>
      <c r="B90" s="5"/>
      <c r="C90" s="5"/>
      <c r="D90" s="5"/>
      <c r="E90" s="5"/>
      <c r="F90" s="5"/>
      <c r="G90" s="6"/>
      <c r="H90" s="5"/>
      <c r="I90" s="5"/>
      <c r="J90" s="5"/>
      <c r="K90" s="5"/>
      <c r="L90" s="5"/>
      <c r="M90" s="7"/>
      <c r="N90" s="7"/>
      <c r="O90" s="8"/>
      <c r="P90" s="7"/>
      <c r="Q90" s="7"/>
      <c r="R90" s="7"/>
      <c r="S90" s="7"/>
      <c r="T90" s="8"/>
      <c r="U90" s="7"/>
    </row>
    <row r="91" spans="1:21" x14ac:dyDescent="0.2">
      <c r="A91" s="5"/>
      <c r="B91" s="5"/>
      <c r="C91" s="5"/>
      <c r="D91" s="5"/>
      <c r="E91" s="5"/>
      <c r="F91" s="5"/>
      <c r="G91" s="6"/>
      <c r="H91" s="5"/>
      <c r="I91" s="5"/>
      <c r="J91" s="5"/>
      <c r="K91" s="5"/>
      <c r="L91" s="5"/>
      <c r="M91" s="7"/>
      <c r="N91" s="7"/>
      <c r="O91" s="8"/>
      <c r="P91" s="7"/>
      <c r="Q91" s="7"/>
      <c r="R91" s="7"/>
      <c r="S91" s="7"/>
      <c r="T91" s="8"/>
      <c r="U91" s="7"/>
    </row>
    <row r="92" spans="1:21" x14ac:dyDescent="0.2">
      <c r="A92" s="5"/>
      <c r="B92" s="5"/>
      <c r="C92" s="5"/>
      <c r="D92" s="5"/>
      <c r="E92" s="5"/>
      <c r="F92" s="5"/>
      <c r="G92" s="6"/>
      <c r="H92" s="5"/>
      <c r="I92" s="5"/>
      <c r="J92" s="5"/>
      <c r="K92" s="5"/>
      <c r="L92" s="5"/>
      <c r="M92" s="7"/>
      <c r="N92" s="7"/>
      <c r="O92" s="8"/>
      <c r="P92" s="7"/>
      <c r="Q92" s="7"/>
      <c r="R92" s="7"/>
      <c r="S92" s="7"/>
      <c r="T92" s="8"/>
      <c r="U92" s="7"/>
    </row>
    <row r="93" spans="1:21" x14ac:dyDescent="0.2">
      <c r="A93" s="5"/>
      <c r="B93" s="5"/>
      <c r="C93" s="5"/>
      <c r="D93" s="5"/>
      <c r="E93" s="5"/>
      <c r="F93" s="5"/>
      <c r="G93" s="6"/>
      <c r="H93" s="5"/>
      <c r="I93" s="5"/>
      <c r="J93" s="5"/>
      <c r="K93" s="5"/>
      <c r="L93" s="5"/>
      <c r="M93" s="7"/>
      <c r="N93" s="7"/>
      <c r="O93" s="8"/>
      <c r="P93" s="7"/>
      <c r="Q93" s="7"/>
      <c r="R93" s="7"/>
      <c r="S93" s="7"/>
      <c r="T93" s="5"/>
      <c r="U93" s="5"/>
    </row>
    <row r="94" spans="1:21" x14ac:dyDescent="0.2">
      <c r="A94" s="5"/>
      <c r="B94" s="5"/>
      <c r="C94" s="5"/>
      <c r="D94" s="5"/>
      <c r="E94" s="5"/>
      <c r="F94" s="5"/>
      <c r="G94" s="6"/>
      <c r="H94" s="5"/>
      <c r="I94" s="5"/>
      <c r="J94" s="5"/>
      <c r="K94" s="5"/>
      <c r="L94" s="5"/>
      <c r="M94" s="7"/>
      <c r="N94" s="7"/>
      <c r="O94" s="8"/>
      <c r="P94" s="7"/>
      <c r="Q94" s="7"/>
      <c r="R94" s="7"/>
      <c r="S94" s="7"/>
      <c r="T94" s="5"/>
      <c r="U94" s="5"/>
    </row>
    <row r="95" spans="1:21" x14ac:dyDescent="0.2">
      <c r="A95" s="5"/>
      <c r="B95" s="5"/>
      <c r="C95" s="5"/>
      <c r="D95" s="5"/>
      <c r="E95" s="5"/>
      <c r="F95" s="5"/>
      <c r="G95" s="6"/>
      <c r="H95" s="5"/>
      <c r="I95" s="5"/>
      <c r="J95" s="5"/>
      <c r="K95" s="5"/>
      <c r="L95" s="5"/>
      <c r="M95" s="7"/>
      <c r="N95" s="7"/>
      <c r="O95" s="8"/>
      <c r="P95" s="7"/>
      <c r="Q95" s="7"/>
      <c r="R95" s="7"/>
      <c r="S95" s="7"/>
      <c r="T95" s="5"/>
      <c r="U95" s="5"/>
    </row>
    <row r="96" spans="1:21" x14ac:dyDescent="0.2">
      <c r="A96" s="5"/>
      <c r="B96" s="5"/>
      <c r="C96" s="5"/>
      <c r="D96" s="5"/>
      <c r="E96" s="5"/>
      <c r="F96" s="5"/>
      <c r="G96" s="6"/>
      <c r="H96" s="5"/>
      <c r="I96" s="5"/>
      <c r="J96" s="5"/>
      <c r="K96" s="5"/>
      <c r="L96" s="5"/>
      <c r="M96" s="7"/>
      <c r="N96" s="7"/>
      <c r="O96" s="8"/>
      <c r="P96" s="7"/>
      <c r="Q96" s="7"/>
      <c r="R96" s="7"/>
      <c r="S96" s="7"/>
      <c r="T96" s="5"/>
      <c r="U96" s="5"/>
    </row>
    <row r="97" spans="1:21" x14ac:dyDescent="0.2">
      <c r="A97" s="5"/>
      <c r="B97" s="5"/>
      <c r="C97" s="5"/>
      <c r="D97" s="5"/>
      <c r="E97" s="5"/>
      <c r="F97" s="5"/>
      <c r="G97" s="6"/>
      <c r="H97" s="5"/>
      <c r="I97" s="5"/>
      <c r="J97" s="5"/>
      <c r="K97" s="5"/>
      <c r="L97" s="5"/>
      <c r="M97" s="7"/>
      <c r="N97" s="7"/>
      <c r="O97" s="8"/>
      <c r="P97" s="7"/>
      <c r="Q97" s="7"/>
      <c r="R97" s="7"/>
      <c r="S97" s="7"/>
      <c r="T97" s="5"/>
      <c r="U97" s="5"/>
    </row>
    <row r="98" spans="1:21" x14ac:dyDescent="0.2">
      <c r="A98" s="5"/>
      <c r="B98" s="5"/>
      <c r="C98" s="5"/>
      <c r="D98" s="5"/>
      <c r="E98" s="5"/>
      <c r="F98" s="5"/>
      <c r="G98" s="6"/>
      <c r="H98" s="5"/>
      <c r="I98" s="5"/>
      <c r="J98" s="5"/>
      <c r="K98" s="5"/>
      <c r="L98" s="5"/>
      <c r="M98" s="7"/>
      <c r="N98" s="7"/>
      <c r="O98" s="8"/>
      <c r="P98" s="7"/>
      <c r="Q98" s="7"/>
      <c r="R98" s="7"/>
      <c r="S98" s="7"/>
      <c r="T98" s="5"/>
      <c r="U98" s="5"/>
    </row>
    <row r="99" spans="1:21" x14ac:dyDescent="0.2">
      <c r="A99" s="5"/>
      <c r="B99" s="5"/>
      <c r="C99" s="5"/>
      <c r="D99" s="5"/>
      <c r="E99" s="5"/>
      <c r="F99" s="5"/>
      <c r="G99" s="6"/>
      <c r="H99" s="5"/>
      <c r="I99" s="5"/>
      <c r="J99" s="5"/>
      <c r="K99" s="5"/>
      <c r="L99" s="5"/>
      <c r="M99" s="7"/>
      <c r="N99" s="7"/>
      <c r="O99" s="8"/>
      <c r="P99" s="7"/>
      <c r="Q99" s="7"/>
      <c r="R99" s="7"/>
      <c r="S99" s="7"/>
      <c r="T99" s="5"/>
      <c r="U99" s="5"/>
    </row>
    <row r="100" spans="1:21" x14ac:dyDescent="0.2">
      <c r="A100" s="5"/>
      <c r="B100" s="5"/>
      <c r="C100" s="5"/>
      <c r="D100" s="5"/>
      <c r="E100" s="5"/>
      <c r="F100" s="5"/>
      <c r="G100" s="6"/>
      <c r="H100" s="5"/>
      <c r="I100" s="5"/>
      <c r="J100" s="5"/>
      <c r="K100" s="5"/>
      <c r="L100" s="5"/>
      <c r="M100" s="7"/>
      <c r="N100" s="7"/>
      <c r="O100" s="8"/>
      <c r="P100" s="7"/>
      <c r="Q100" s="7"/>
      <c r="R100" s="7"/>
      <c r="S100" s="7"/>
      <c r="T100" s="5"/>
      <c r="U100" s="5"/>
    </row>
    <row r="101" spans="1:21" x14ac:dyDescent="0.2">
      <c r="A101" s="5"/>
      <c r="B101" s="5"/>
      <c r="C101" s="5"/>
      <c r="D101" s="5"/>
      <c r="E101" s="5"/>
      <c r="F101" s="5"/>
      <c r="G101" s="6"/>
      <c r="H101" s="5"/>
      <c r="I101" s="5"/>
      <c r="J101" s="5"/>
      <c r="K101" s="5"/>
      <c r="L101" s="5"/>
      <c r="M101" s="7"/>
      <c r="N101" s="7"/>
      <c r="O101" s="8"/>
      <c r="P101" s="7"/>
      <c r="Q101" s="7"/>
      <c r="R101" s="7"/>
      <c r="S101" s="7"/>
      <c r="T101" s="5"/>
      <c r="U101" s="5"/>
    </row>
    <row r="102" spans="1:21" x14ac:dyDescent="0.2">
      <c r="A102" s="5"/>
      <c r="B102" s="5"/>
      <c r="C102" s="5"/>
      <c r="D102" s="5"/>
      <c r="E102" s="5"/>
      <c r="F102" s="5"/>
      <c r="G102" s="6"/>
      <c r="H102" s="5"/>
      <c r="I102" s="5"/>
      <c r="J102" s="5"/>
      <c r="K102" s="5"/>
      <c r="L102" s="5"/>
      <c r="M102" s="7"/>
      <c r="N102" s="7"/>
      <c r="O102" s="8"/>
      <c r="P102" s="7"/>
      <c r="Q102" s="7"/>
      <c r="R102" s="7"/>
      <c r="S102" s="7"/>
      <c r="T102" s="5"/>
      <c r="U102" s="5"/>
    </row>
    <row r="103" spans="1:21" x14ac:dyDescent="0.2">
      <c r="A103" s="5"/>
      <c r="B103" s="5"/>
      <c r="C103" s="5"/>
      <c r="D103" s="5"/>
      <c r="E103" s="5"/>
      <c r="F103" s="5"/>
      <c r="G103" s="6"/>
      <c r="H103" s="5"/>
      <c r="I103" s="5"/>
      <c r="J103" s="5"/>
      <c r="K103" s="5"/>
      <c r="L103" s="5"/>
      <c r="M103" s="7"/>
      <c r="N103" s="7"/>
      <c r="O103" s="8"/>
      <c r="P103" s="7"/>
      <c r="Q103" s="7"/>
      <c r="R103" s="7"/>
      <c r="S103" s="7"/>
      <c r="T103" s="5"/>
      <c r="U103" s="5"/>
    </row>
    <row r="104" spans="1:21" x14ac:dyDescent="0.2">
      <c r="A104" s="5"/>
      <c r="B104" s="5"/>
      <c r="C104" s="5"/>
      <c r="D104" s="5"/>
      <c r="E104" s="5"/>
      <c r="F104" s="5"/>
      <c r="G104" s="6"/>
      <c r="H104" s="5"/>
      <c r="I104" s="5"/>
      <c r="J104" s="5"/>
      <c r="K104" s="5"/>
      <c r="L104" s="5"/>
      <c r="M104" s="7"/>
      <c r="N104" s="7"/>
      <c r="O104" s="8"/>
      <c r="P104" s="7"/>
      <c r="Q104" s="7"/>
      <c r="R104" s="7"/>
      <c r="S104" s="7"/>
      <c r="T104" s="5"/>
      <c r="U104" s="5"/>
    </row>
    <row r="105" spans="1:21" x14ac:dyDescent="0.2">
      <c r="A105" s="5"/>
      <c r="B105" s="5"/>
      <c r="C105" s="5"/>
      <c r="D105" s="5"/>
      <c r="E105" s="5"/>
      <c r="F105" s="5"/>
      <c r="G105" s="6"/>
      <c r="H105" s="5"/>
      <c r="I105" s="5"/>
      <c r="J105" s="5"/>
      <c r="K105" s="5"/>
      <c r="L105" s="5"/>
      <c r="M105" s="7"/>
      <c r="N105" s="7"/>
      <c r="O105" s="8"/>
      <c r="P105" s="7"/>
      <c r="Q105" s="7"/>
      <c r="R105" s="7"/>
      <c r="S105" s="7"/>
      <c r="T105" s="5"/>
      <c r="U105" s="5"/>
    </row>
    <row r="106" spans="1:21" x14ac:dyDescent="0.2">
      <c r="A106" s="5"/>
      <c r="B106" s="5"/>
      <c r="C106" s="5"/>
      <c r="D106" s="5"/>
      <c r="E106" s="5"/>
      <c r="F106" s="5"/>
      <c r="G106" s="6"/>
      <c r="H106" s="5"/>
      <c r="I106" s="5"/>
      <c r="J106" s="5"/>
      <c r="K106" s="5"/>
      <c r="L106" s="5"/>
      <c r="M106" s="7"/>
      <c r="N106" s="7"/>
      <c r="O106" s="8"/>
      <c r="P106" s="7"/>
      <c r="Q106" s="7"/>
      <c r="R106" s="7"/>
      <c r="S106" s="7"/>
      <c r="T106" s="5"/>
      <c r="U106" s="5"/>
    </row>
    <row r="107" spans="1:21" x14ac:dyDescent="0.2">
      <c r="A107" s="5"/>
      <c r="B107" s="5"/>
      <c r="C107" s="5"/>
      <c r="D107" s="5"/>
      <c r="E107" s="5"/>
      <c r="F107" s="5"/>
      <c r="G107" s="6"/>
      <c r="H107" s="5"/>
      <c r="I107" s="5"/>
      <c r="J107" s="5"/>
      <c r="K107" s="5"/>
      <c r="L107" s="5"/>
      <c r="M107" s="7"/>
      <c r="N107" s="7"/>
      <c r="O107" s="8"/>
      <c r="P107" s="7"/>
      <c r="Q107" s="7"/>
      <c r="R107" s="7"/>
      <c r="S107" s="7"/>
      <c r="T107" s="5"/>
      <c r="U107" s="5"/>
    </row>
    <row r="108" spans="1:21" x14ac:dyDescent="0.2">
      <c r="A108" s="5"/>
      <c r="B108" s="5"/>
      <c r="C108" s="5"/>
      <c r="D108" s="5"/>
      <c r="E108" s="5"/>
      <c r="F108" s="5"/>
      <c r="G108" s="6"/>
      <c r="H108" s="5"/>
      <c r="I108" s="5"/>
      <c r="J108" s="5"/>
      <c r="K108" s="5"/>
      <c r="L108" s="5"/>
      <c r="M108" s="7"/>
      <c r="N108" s="7"/>
      <c r="O108" s="8"/>
      <c r="P108" s="7"/>
      <c r="Q108" s="7"/>
      <c r="R108" s="7"/>
      <c r="S108" s="7"/>
      <c r="T108" s="5"/>
      <c r="U108" s="5"/>
    </row>
    <row r="109" spans="1:21" x14ac:dyDescent="0.2">
      <c r="A109" s="5"/>
      <c r="B109" s="5"/>
      <c r="C109" s="5"/>
      <c r="D109" s="5"/>
      <c r="E109" s="5"/>
      <c r="F109" s="5"/>
      <c r="G109" s="6"/>
      <c r="H109" s="5"/>
      <c r="I109" s="5"/>
      <c r="J109" s="5"/>
      <c r="K109" s="5"/>
      <c r="L109" s="5"/>
      <c r="M109" s="7"/>
      <c r="N109" s="7"/>
      <c r="O109" s="8"/>
      <c r="P109" s="7"/>
      <c r="Q109" s="7"/>
      <c r="R109" s="7"/>
      <c r="S109" s="7"/>
      <c r="T109" s="5"/>
      <c r="U109" s="5"/>
    </row>
    <row r="110" spans="1:21" x14ac:dyDescent="0.2">
      <c r="A110" s="5"/>
      <c r="B110" s="5"/>
      <c r="C110" s="5"/>
      <c r="D110" s="5"/>
      <c r="E110" s="5"/>
      <c r="F110" s="5"/>
      <c r="G110" s="6"/>
      <c r="H110" s="5"/>
      <c r="I110" s="5"/>
      <c r="J110" s="5"/>
      <c r="K110" s="5"/>
      <c r="L110" s="5"/>
      <c r="M110" s="7"/>
      <c r="N110" s="7"/>
      <c r="O110" s="8"/>
      <c r="P110" s="7"/>
      <c r="Q110" s="7"/>
      <c r="R110" s="7"/>
      <c r="S110" s="7"/>
      <c r="T110" s="5"/>
      <c r="U110" s="5"/>
    </row>
    <row r="111" spans="1:21" x14ac:dyDescent="0.2">
      <c r="A111" s="5"/>
      <c r="B111" s="5"/>
      <c r="C111" s="5"/>
      <c r="D111" s="5"/>
      <c r="E111" s="5"/>
      <c r="F111" s="5"/>
      <c r="G111" s="6"/>
      <c r="H111" s="5"/>
      <c r="I111" s="5"/>
      <c r="J111" s="5"/>
      <c r="K111" s="5"/>
      <c r="L111" s="5"/>
      <c r="M111" s="7"/>
      <c r="N111" s="7"/>
      <c r="O111" s="8"/>
      <c r="P111" s="7"/>
      <c r="Q111" s="7"/>
      <c r="R111" s="7"/>
      <c r="S111" s="7"/>
      <c r="T111" s="5"/>
      <c r="U111" s="5"/>
    </row>
    <row r="112" spans="1:21" x14ac:dyDescent="0.2">
      <c r="A112" s="5"/>
      <c r="B112" s="5"/>
      <c r="C112" s="5"/>
      <c r="D112" s="5"/>
      <c r="E112" s="5"/>
      <c r="F112" s="5"/>
      <c r="G112" s="6"/>
      <c r="H112" s="5"/>
      <c r="I112" s="5"/>
      <c r="J112" s="5"/>
      <c r="K112" s="5"/>
      <c r="L112" s="5"/>
      <c r="M112" s="7"/>
      <c r="N112" s="7"/>
      <c r="O112" s="8"/>
      <c r="P112" s="7"/>
      <c r="Q112" s="7"/>
      <c r="R112" s="7"/>
      <c r="S112" s="7"/>
      <c r="T112" s="5"/>
      <c r="U112" s="5"/>
    </row>
    <row r="113" spans="1:21" x14ac:dyDescent="0.2">
      <c r="A113" s="5"/>
      <c r="B113" s="5"/>
      <c r="C113" s="5"/>
      <c r="D113" s="5"/>
      <c r="E113" s="5"/>
      <c r="F113" s="5"/>
      <c r="G113" s="6"/>
      <c r="H113" s="5"/>
      <c r="I113" s="5"/>
      <c r="J113" s="5"/>
      <c r="K113" s="5"/>
      <c r="L113" s="5"/>
      <c r="M113" s="7"/>
      <c r="N113" s="7"/>
      <c r="O113" s="8"/>
      <c r="P113" s="7"/>
      <c r="Q113" s="7"/>
      <c r="R113" s="7"/>
      <c r="S113" s="7"/>
      <c r="T113" s="5"/>
      <c r="U113" s="5"/>
    </row>
    <row r="114" spans="1:21" x14ac:dyDescent="0.2">
      <c r="A114" s="5"/>
      <c r="B114" s="5"/>
      <c r="C114" s="5"/>
      <c r="D114" s="5"/>
      <c r="E114" s="5"/>
      <c r="F114" s="5"/>
      <c r="G114" s="6"/>
      <c r="H114" s="5"/>
      <c r="I114" s="5"/>
      <c r="J114" s="5"/>
      <c r="K114" s="5"/>
      <c r="L114" s="5"/>
      <c r="M114" s="7"/>
      <c r="N114" s="7"/>
      <c r="O114" s="8"/>
      <c r="P114" s="7"/>
      <c r="Q114" s="7"/>
      <c r="R114" s="7"/>
      <c r="S114" s="7"/>
      <c r="T114" s="5"/>
      <c r="U114" s="5"/>
    </row>
    <row r="115" spans="1:21" x14ac:dyDescent="0.2">
      <c r="A115" s="5"/>
      <c r="B115" s="5"/>
      <c r="C115" s="5"/>
      <c r="D115" s="5"/>
      <c r="E115" s="5"/>
      <c r="F115" s="5"/>
      <c r="G115" s="6"/>
      <c r="H115" s="5"/>
      <c r="I115" s="5"/>
      <c r="J115" s="5"/>
      <c r="K115" s="5"/>
      <c r="L115" s="5"/>
      <c r="M115" s="7"/>
      <c r="N115" s="7"/>
      <c r="O115" s="8"/>
      <c r="P115" s="7"/>
      <c r="Q115" s="7"/>
      <c r="R115" s="7"/>
      <c r="S115" s="7"/>
      <c r="T115" s="5"/>
      <c r="U115" s="5"/>
    </row>
    <row r="116" spans="1:21" x14ac:dyDescent="0.2">
      <c r="A116" s="5"/>
      <c r="B116" s="5"/>
      <c r="C116" s="5"/>
      <c r="D116" s="5"/>
      <c r="E116" s="5"/>
      <c r="F116" s="5"/>
      <c r="G116" s="6"/>
      <c r="H116" s="5"/>
      <c r="I116" s="5"/>
      <c r="J116" s="5"/>
      <c r="K116" s="5"/>
      <c r="L116" s="5"/>
      <c r="M116" s="7"/>
      <c r="N116" s="7"/>
      <c r="O116" s="8"/>
      <c r="P116" s="7"/>
      <c r="Q116" s="7"/>
      <c r="R116" s="7"/>
      <c r="S116" s="7"/>
      <c r="T116" s="5"/>
      <c r="U116" s="5"/>
    </row>
    <row r="117" spans="1:21" x14ac:dyDescent="0.2">
      <c r="A117" s="5"/>
      <c r="B117" s="5"/>
      <c r="C117" s="5"/>
      <c r="D117" s="5"/>
      <c r="E117" s="5"/>
      <c r="F117" s="5"/>
      <c r="G117" s="6"/>
      <c r="H117" s="5"/>
      <c r="I117" s="5"/>
      <c r="J117" s="5"/>
      <c r="K117" s="5"/>
      <c r="L117" s="5"/>
      <c r="M117" s="7"/>
      <c r="N117" s="7"/>
      <c r="O117" s="8"/>
      <c r="P117" s="7"/>
      <c r="Q117" s="7"/>
      <c r="R117" s="7"/>
      <c r="S117" s="7"/>
      <c r="T117" s="5"/>
      <c r="U117" s="5"/>
    </row>
    <row r="118" spans="1:21" x14ac:dyDescent="0.2">
      <c r="A118" s="5"/>
      <c r="B118" s="5"/>
      <c r="C118" s="5"/>
      <c r="D118" s="5"/>
      <c r="E118" s="5"/>
      <c r="F118" s="5"/>
      <c r="G118" s="6"/>
      <c r="H118" s="5"/>
      <c r="I118" s="5"/>
      <c r="J118" s="5"/>
      <c r="K118" s="5"/>
      <c r="L118" s="5"/>
      <c r="M118" s="7"/>
      <c r="N118" s="7"/>
      <c r="O118" s="8"/>
      <c r="P118" s="7"/>
      <c r="Q118" s="7"/>
      <c r="R118" s="7"/>
      <c r="S118" s="7"/>
      <c r="T118" s="5"/>
      <c r="U118" s="5"/>
    </row>
    <row r="119" spans="1:21" x14ac:dyDescent="0.2">
      <c r="A119" s="5"/>
      <c r="B119" s="5"/>
      <c r="C119" s="5"/>
      <c r="D119" s="5"/>
      <c r="E119" s="5"/>
      <c r="F119" s="5"/>
      <c r="G119" s="6"/>
      <c r="H119" s="5"/>
      <c r="I119" s="5"/>
      <c r="J119" s="5"/>
      <c r="K119" s="5"/>
      <c r="L119" s="5"/>
      <c r="M119" s="7"/>
      <c r="N119" s="7"/>
      <c r="O119" s="8"/>
      <c r="P119" s="7"/>
      <c r="Q119" s="7"/>
      <c r="R119" s="7"/>
      <c r="S119" s="7"/>
      <c r="T119" s="5"/>
      <c r="U119" s="5"/>
    </row>
    <row r="120" spans="1:21" x14ac:dyDescent="0.2">
      <c r="A120" s="5"/>
      <c r="B120" s="5"/>
      <c r="C120" s="5"/>
      <c r="D120" s="5"/>
      <c r="E120" s="5"/>
      <c r="F120" s="5"/>
      <c r="G120" s="6"/>
      <c r="H120" s="5"/>
      <c r="I120" s="5"/>
      <c r="J120" s="5"/>
      <c r="K120" s="5"/>
      <c r="L120" s="5"/>
      <c r="M120" s="7"/>
      <c r="N120" s="7"/>
      <c r="O120" s="8"/>
      <c r="P120" s="7"/>
      <c r="Q120" s="7"/>
      <c r="R120" s="7"/>
      <c r="S120" s="7"/>
      <c r="T120" s="5"/>
      <c r="U120" s="5"/>
    </row>
  </sheetData>
  <pageMargins left="7.874015748031496E-2" right="3.937007874015748E-2" top="7.874015748031496E-2" bottom="0" header="0.25" footer="3.937007874015748E-2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0"/>
  <sheetViews>
    <sheetView zoomScale="85" zoomScaleNormal="85" workbookViewId="0"/>
  </sheetViews>
  <sheetFormatPr defaultRowHeight="12.75" x14ac:dyDescent="0.2"/>
  <cols>
    <col min="1" max="1" width="9.28515625" customWidth="1"/>
    <col min="2" max="2" width="7.42578125" customWidth="1"/>
    <col min="3" max="3" width="9.28515625" customWidth="1"/>
    <col min="4" max="4" width="7" customWidth="1"/>
    <col min="5" max="5" width="21.5703125" customWidth="1"/>
    <col min="6" max="6" width="9.140625" customWidth="1"/>
    <col min="7" max="7" width="8.140625" style="2" customWidth="1"/>
    <col min="8" max="8" width="9.85546875" customWidth="1"/>
    <col min="9" max="9" width="11.85546875" bestFit="1" customWidth="1"/>
    <col min="10" max="10" width="10.85546875" customWidth="1"/>
    <col min="11" max="11" width="6.42578125" customWidth="1"/>
    <col min="12" max="12" width="6.85546875" customWidth="1"/>
    <col min="13" max="13" width="7.42578125" style="3" bestFit="1" customWidth="1"/>
    <col min="14" max="14" width="6.85546875" style="3" customWidth="1"/>
    <col min="15" max="15" width="7.85546875" style="4" customWidth="1"/>
    <col min="16" max="16" width="8.85546875" style="3" customWidth="1"/>
    <col min="17" max="17" width="13.5703125" style="3" customWidth="1"/>
    <col min="18" max="18" width="12" style="3" customWidth="1"/>
    <col min="19" max="19" width="9.42578125" style="3" customWidth="1"/>
    <col min="20" max="20" width="7.7109375" customWidth="1"/>
    <col min="21" max="21" width="7.140625" customWidth="1"/>
    <col min="22" max="23" width="14" style="27" customWidth="1"/>
  </cols>
  <sheetData>
    <row r="1" spans="1:23" ht="15" x14ac:dyDescent="0.25">
      <c r="A1" s="31" t="s">
        <v>83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7"/>
      <c r="N1" s="7"/>
      <c r="O1" s="8"/>
      <c r="P1" s="7"/>
      <c r="Q1" s="7"/>
      <c r="R1" s="7"/>
      <c r="S1" s="7"/>
      <c r="T1" s="5"/>
      <c r="U1" s="5"/>
    </row>
    <row r="2" spans="1:23" x14ac:dyDescent="0.2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7"/>
      <c r="N2" s="7"/>
      <c r="O2" s="8"/>
      <c r="P2" s="7"/>
      <c r="Q2" s="7"/>
      <c r="R2" s="7"/>
      <c r="S2" s="7"/>
      <c r="T2" s="5"/>
      <c r="U2" s="5"/>
    </row>
    <row r="3" spans="1:23" ht="13.5" thickBot="1" x14ac:dyDescent="0.25">
      <c r="A3" s="5" t="s">
        <v>37</v>
      </c>
      <c r="B3" s="5"/>
      <c r="C3" s="5"/>
      <c r="D3" s="5"/>
      <c r="E3" s="5"/>
      <c r="F3" s="5"/>
      <c r="G3" s="6"/>
      <c r="H3" s="5"/>
      <c r="I3" s="5"/>
      <c r="J3" s="5"/>
      <c r="K3" s="5"/>
      <c r="L3" s="5"/>
      <c r="M3" s="7"/>
      <c r="N3" s="7"/>
      <c r="O3" s="8"/>
      <c r="P3" s="7"/>
      <c r="Q3" s="7"/>
      <c r="R3" s="7"/>
      <c r="S3" s="7"/>
      <c r="T3" s="5"/>
      <c r="U3" s="5"/>
    </row>
    <row r="4" spans="1:23" s="1" customFormat="1" ht="44.25" customHeight="1" thickBot="1" x14ac:dyDescent="0.25">
      <c r="A4" s="76" t="s">
        <v>1</v>
      </c>
      <c r="B4" s="77" t="s">
        <v>28</v>
      </c>
      <c r="C4" s="77" t="s">
        <v>29</v>
      </c>
      <c r="D4" s="77" t="s">
        <v>30</v>
      </c>
      <c r="E4" s="77" t="s">
        <v>33</v>
      </c>
      <c r="F4" s="77" t="s">
        <v>41</v>
      </c>
      <c r="G4" s="78" t="s">
        <v>31</v>
      </c>
      <c r="H4" s="77" t="s">
        <v>34</v>
      </c>
      <c r="I4" s="77" t="s">
        <v>5</v>
      </c>
      <c r="J4" s="77" t="s">
        <v>3</v>
      </c>
      <c r="K4" s="77" t="s">
        <v>6</v>
      </c>
      <c r="L4" s="79" t="s">
        <v>35</v>
      </c>
      <c r="M4" s="80" t="s">
        <v>36</v>
      </c>
      <c r="N4" s="80" t="s">
        <v>50</v>
      </c>
      <c r="O4" s="81" t="s">
        <v>45</v>
      </c>
      <c r="P4" s="80" t="s">
        <v>39</v>
      </c>
      <c r="Q4" s="80" t="s">
        <v>40</v>
      </c>
      <c r="R4" s="80" t="s">
        <v>42</v>
      </c>
      <c r="S4" s="80" t="s">
        <v>43</v>
      </c>
      <c r="T4" s="77" t="s">
        <v>11</v>
      </c>
      <c r="U4" s="82" t="s">
        <v>13</v>
      </c>
      <c r="V4" s="28"/>
      <c r="W4" s="28"/>
    </row>
    <row r="5" spans="1:23" ht="60" x14ac:dyDescent="0.2">
      <c r="A5" s="70" t="s">
        <v>96</v>
      </c>
      <c r="B5" s="71">
        <f>72.6-5</f>
        <v>67.599999999999994</v>
      </c>
      <c r="C5" s="71">
        <v>2.5</v>
      </c>
      <c r="D5" s="71">
        <v>0.8</v>
      </c>
      <c r="E5" s="71" t="s">
        <v>38</v>
      </c>
      <c r="F5" s="71">
        <v>160</v>
      </c>
      <c r="G5" s="72">
        <f>B5*C5*D5</f>
        <v>135.20000000000002</v>
      </c>
      <c r="H5" s="71" t="s">
        <v>47</v>
      </c>
      <c r="I5" s="71"/>
      <c r="J5" s="56" t="s">
        <v>157</v>
      </c>
      <c r="K5" s="71">
        <f t="shared" ref="K5:K9" si="0">C5-0.4</f>
        <v>2.1</v>
      </c>
      <c r="L5" s="71">
        <v>0</v>
      </c>
      <c r="M5" s="73">
        <f>B5*C5*2*0.75</f>
        <v>253.5</v>
      </c>
      <c r="N5" s="73">
        <f>B5*D5*0.1</f>
        <v>5.4080000000000004</v>
      </c>
      <c r="O5" s="74">
        <f t="shared" ref="O5:O11" si="1">B5*L5</f>
        <v>0</v>
      </c>
      <c r="P5" s="73">
        <f t="shared" ref="P5:P10" si="2">(2*B5*C5+3*B5*D5)*1.1</f>
        <v>550.26400000000001</v>
      </c>
      <c r="Q5" s="73">
        <f t="shared" ref="Q5:Q10" si="3">(B5*D5*K5)-N5-O5</f>
        <v>108.16</v>
      </c>
      <c r="R5" s="73">
        <f>25.2*D5*0.4</f>
        <v>8.0640000000000001</v>
      </c>
      <c r="S5" s="73">
        <f>42.4*D5*0.4</f>
        <v>13.568000000000001</v>
      </c>
      <c r="T5" s="74">
        <f>25.2*D5*0.15</f>
        <v>3.024</v>
      </c>
      <c r="U5" s="75">
        <f>N5+O5+R5+Q5+S5</f>
        <v>135.20000000000002</v>
      </c>
      <c r="V5" s="27" t="s">
        <v>156</v>
      </c>
    </row>
    <row r="6" spans="1:23" ht="24" x14ac:dyDescent="0.2">
      <c r="A6" s="15" t="s">
        <v>97</v>
      </c>
      <c r="B6" s="16">
        <v>26.5</v>
      </c>
      <c r="C6" s="16">
        <v>2.5</v>
      </c>
      <c r="D6" s="16">
        <v>0.8</v>
      </c>
      <c r="E6" s="16" t="s">
        <v>38</v>
      </c>
      <c r="F6" s="16">
        <v>160</v>
      </c>
      <c r="G6" s="72">
        <f>B6*C6*D6</f>
        <v>53</v>
      </c>
      <c r="H6" s="16" t="s">
        <v>47</v>
      </c>
      <c r="I6" s="16"/>
      <c r="J6" s="83" t="s">
        <v>71</v>
      </c>
      <c r="K6" s="16">
        <f t="shared" si="0"/>
        <v>2.1</v>
      </c>
      <c r="L6" s="16">
        <v>0</v>
      </c>
      <c r="M6" s="18">
        <f>B6*C6*2*0.75</f>
        <v>99.375</v>
      </c>
      <c r="N6" s="18">
        <f>B6*D6*0.1</f>
        <v>2.1200000000000006</v>
      </c>
      <c r="O6" s="19">
        <f t="shared" si="1"/>
        <v>0</v>
      </c>
      <c r="P6" s="18">
        <f t="shared" si="2"/>
        <v>215.71</v>
      </c>
      <c r="Q6" s="18">
        <f t="shared" si="3"/>
        <v>42.400000000000013</v>
      </c>
      <c r="R6" s="73">
        <f>B6*D6*0.3*0</f>
        <v>0</v>
      </c>
      <c r="S6" s="73">
        <f>B6*D6*0.4</f>
        <v>8.4800000000000022</v>
      </c>
      <c r="T6" s="74">
        <f>B6*D6*0.1*0</f>
        <v>0</v>
      </c>
      <c r="U6" s="75">
        <f>N6+O6+R6+Q6+S6</f>
        <v>53.000000000000014</v>
      </c>
    </row>
    <row r="7" spans="1:23" ht="24" x14ac:dyDescent="0.2">
      <c r="A7" s="70" t="s">
        <v>98</v>
      </c>
      <c r="B7" s="16">
        <v>69.099999999999994</v>
      </c>
      <c r="C7" s="99">
        <v>3.05</v>
      </c>
      <c r="D7" s="16">
        <v>0.8</v>
      </c>
      <c r="E7" s="16" t="s">
        <v>38</v>
      </c>
      <c r="F7" s="16">
        <v>160</v>
      </c>
      <c r="G7" s="72">
        <f>B7*C7*D7</f>
        <v>168.60399999999998</v>
      </c>
      <c r="H7" s="16"/>
      <c r="I7" s="16">
        <v>0</v>
      </c>
      <c r="J7" s="83" t="s">
        <v>71</v>
      </c>
      <c r="K7" s="16">
        <f>C7-0.4</f>
        <v>2.65</v>
      </c>
      <c r="L7" s="16">
        <v>0</v>
      </c>
      <c r="M7" s="18">
        <f>B7*C7*2*0.75</f>
        <v>316.13249999999994</v>
      </c>
      <c r="N7" s="18">
        <f>B7*D7*0.1</f>
        <v>5.5280000000000005</v>
      </c>
      <c r="O7" s="19">
        <f t="shared" si="1"/>
        <v>0</v>
      </c>
      <c r="P7" s="18">
        <f t="shared" si="2"/>
        <v>646.08499999999992</v>
      </c>
      <c r="Q7" s="18">
        <f t="shared" si="3"/>
        <v>140.964</v>
      </c>
      <c r="R7" s="73">
        <f>B7*D7*0.3*0</f>
        <v>0</v>
      </c>
      <c r="S7" s="73">
        <f>B7*D7*0.4</f>
        <v>22.112000000000002</v>
      </c>
      <c r="T7" s="74">
        <f>B7*D7*0.1*0</f>
        <v>0</v>
      </c>
      <c r="U7" s="75">
        <f>N7+O7+R7+Q7+S7</f>
        <v>168.60399999999998</v>
      </c>
    </row>
    <row r="8" spans="1:23" ht="60" x14ac:dyDescent="0.2">
      <c r="A8" s="15" t="s">
        <v>99</v>
      </c>
      <c r="B8" s="16">
        <f>74.1-5</f>
        <v>69.099999999999994</v>
      </c>
      <c r="C8" s="99">
        <v>2.5</v>
      </c>
      <c r="D8" s="16">
        <v>0.8</v>
      </c>
      <c r="E8" s="16" t="s">
        <v>38</v>
      </c>
      <c r="F8" s="16">
        <v>160</v>
      </c>
      <c r="G8" s="72">
        <f t="shared" ref="G8" si="4">B8*C8*D8</f>
        <v>138.20000000000002</v>
      </c>
      <c r="H8" s="16" t="s">
        <v>47</v>
      </c>
      <c r="I8" s="16">
        <v>0</v>
      </c>
      <c r="J8" s="56" t="s">
        <v>158</v>
      </c>
      <c r="K8" s="16">
        <f t="shared" si="0"/>
        <v>2.1</v>
      </c>
      <c r="L8" s="16">
        <v>0</v>
      </c>
      <c r="M8" s="18">
        <f t="shared" ref="M8" si="5">B8*C8*2*0.75</f>
        <v>259.125</v>
      </c>
      <c r="N8" s="18">
        <f t="shared" ref="N8" si="6">B8*D8*0.1</f>
        <v>5.5280000000000005</v>
      </c>
      <c r="O8" s="19">
        <f t="shared" si="1"/>
        <v>0</v>
      </c>
      <c r="P8" s="18">
        <f t="shared" si="2"/>
        <v>562.47400000000005</v>
      </c>
      <c r="Q8" s="18">
        <f t="shared" si="3"/>
        <v>110.56</v>
      </c>
      <c r="R8" s="18">
        <f>26*D8*0.4</f>
        <v>8.32</v>
      </c>
      <c r="S8" s="18">
        <f>43.1*D8*0.4</f>
        <v>13.792000000000002</v>
      </c>
      <c r="T8" s="19">
        <f>26*D8*0.15</f>
        <v>3.12</v>
      </c>
      <c r="U8" s="20">
        <f>N8+O8+R8+Q8+S8</f>
        <v>138.19999999999999</v>
      </c>
      <c r="V8" s="27" t="s">
        <v>156</v>
      </c>
    </row>
    <row r="9" spans="1:23" ht="49.5" customHeight="1" x14ac:dyDescent="0.2">
      <c r="A9" s="70" t="s">
        <v>100</v>
      </c>
      <c r="B9" s="16">
        <v>93.7</v>
      </c>
      <c r="C9" s="99">
        <v>2.5</v>
      </c>
      <c r="D9" s="16">
        <v>0.8</v>
      </c>
      <c r="E9" s="16" t="s">
        <v>38</v>
      </c>
      <c r="F9" s="16">
        <v>160</v>
      </c>
      <c r="G9" s="72">
        <f>B9*C9*D9</f>
        <v>187.4</v>
      </c>
      <c r="H9" s="16" t="s">
        <v>44</v>
      </c>
      <c r="I9" s="16">
        <v>0</v>
      </c>
      <c r="J9" s="56" t="s">
        <v>159</v>
      </c>
      <c r="K9" s="16">
        <f t="shared" si="0"/>
        <v>2.1</v>
      </c>
      <c r="L9" s="16">
        <v>0</v>
      </c>
      <c r="M9" s="18">
        <f>B9*C9*2*0.75</f>
        <v>351.375</v>
      </c>
      <c r="N9" s="18">
        <f>B9*D9*0.1</f>
        <v>7.4960000000000013</v>
      </c>
      <c r="O9" s="19">
        <f t="shared" si="1"/>
        <v>0</v>
      </c>
      <c r="P9" s="18">
        <f t="shared" si="2"/>
        <v>762.71800000000007</v>
      </c>
      <c r="Q9" s="18">
        <f t="shared" si="3"/>
        <v>149.92000000000002</v>
      </c>
      <c r="R9" s="18">
        <f>25.4*D9*0.4</f>
        <v>8.1280000000000001</v>
      </c>
      <c r="S9" s="18">
        <f>68.3*D9*0.4</f>
        <v>21.856000000000002</v>
      </c>
      <c r="T9" s="19">
        <f>25.4*D9*0.15</f>
        <v>3.048</v>
      </c>
      <c r="U9" s="20">
        <f t="shared" ref="U9:U10" si="7">N9+O9+R9+Q9+S9</f>
        <v>187.4</v>
      </c>
    </row>
    <row r="10" spans="1:23" ht="24" x14ac:dyDescent="0.2">
      <c r="A10" s="15" t="s">
        <v>101</v>
      </c>
      <c r="B10" s="16">
        <v>47.7</v>
      </c>
      <c r="C10" s="99">
        <v>2.75</v>
      </c>
      <c r="D10" s="16">
        <v>0.8</v>
      </c>
      <c r="E10" s="16" t="s">
        <v>46</v>
      </c>
      <c r="F10" s="16">
        <v>200</v>
      </c>
      <c r="G10" s="72">
        <f>B10*C10*D10</f>
        <v>104.94000000000001</v>
      </c>
      <c r="H10" s="16" t="s">
        <v>48</v>
      </c>
      <c r="I10" s="16">
        <v>0</v>
      </c>
      <c r="J10" s="56" t="s">
        <v>71</v>
      </c>
      <c r="K10" s="16">
        <f>C10-0.4</f>
        <v>2.35</v>
      </c>
      <c r="L10" s="16">
        <f>(F10/2000)^2*PI()</f>
        <v>3.1415926535897934E-2</v>
      </c>
      <c r="M10" s="18">
        <f>B10*C10*2*0.75</f>
        <v>196.76250000000002</v>
      </c>
      <c r="N10" s="18">
        <f>B10*D10*0.1</f>
        <v>3.8160000000000007</v>
      </c>
      <c r="O10" s="19">
        <f>B10*L10</f>
        <v>1.4985396957623316</v>
      </c>
      <c r="P10" s="18">
        <f t="shared" si="2"/>
        <v>414.51300000000009</v>
      </c>
      <c r="Q10" s="18">
        <f t="shared" si="3"/>
        <v>84.361460304237681</v>
      </c>
      <c r="R10" s="73">
        <f>B10*D10*0.3*0</f>
        <v>0</v>
      </c>
      <c r="S10" s="73">
        <f>B10*D10*0.4</f>
        <v>15.264000000000003</v>
      </c>
      <c r="T10" s="74">
        <f>B10*D10*0.1*0</f>
        <v>0</v>
      </c>
      <c r="U10" s="75">
        <f t="shared" si="7"/>
        <v>104.94000000000003</v>
      </c>
    </row>
    <row r="11" spans="1:23" ht="24.75" thickBot="1" x14ac:dyDescent="0.25">
      <c r="A11" s="58" t="s">
        <v>102</v>
      </c>
      <c r="B11" s="16">
        <v>84.8</v>
      </c>
      <c r="C11" s="98">
        <v>2.0499999999999998</v>
      </c>
      <c r="D11" s="59">
        <v>0.5</v>
      </c>
      <c r="E11" s="59" t="s">
        <v>111</v>
      </c>
      <c r="F11" s="59">
        <v>110</v>
      </c>
      <c r="G11" s="60">
        <f>18.4*C11*D11</f>
        <v>18.859999999999996</v>
      </c>
      <c r="H11" s="100"/>
      <c r="I11" s="59" t="s">
        <v>161</v>
      </c>
      <c r="J11" s="93" t="s">
        <v>71</v>
      </c>
      <c r="K11" s="59">
        <v>0.5</v>
      </c>
      <c r="L11" s="59">
        <v>0</v>
      </c>
      <c r="M11" s="59">
        <f>18.4*C11*2*0.75</f>
        <v>56.579999999999984</v>
      </c>
      <c r="N11" s="61">
        <f>18.4*D11*0.1</f>
        <v>0.91999999999999993</v>
      </c>
      <c r="O11" s="62">
        <f t="shared" si="1"/>
        <v>0</v>
      </c>
      <c r="P11" s="61">
        <v>0</v>
      </c>
      <c r="Q11" s="61">
        <v>0</v>
      </c>
      <c r="R11" s="61">
        <f>18.4*D11*0.4</f>
        <v>3.6799999999999997</v>
      </c>
      <c r="S11" s="61">
        <f>18.4*D11*0.4</f>
        <v>3.6799999999999997</v>
      </c>
      <c r="T11" s="62">
        <f>18.4*D11*1.15</f>
        <v>10.579999999999998</v>
      </c>
      <c r="U11" s="63">
        <f>N11+O11+R11+Q11+S11</f>
        <v>8.2799999999999994</v>
      </c>
      <c r="V11" s="27" t="s">
        <v>103</v>
      </c>
    </row>
    <row r="12" spans="1:23" s="55" customFormat="1" ht="14.25" thickTop="1" thickBot="1" x14ac:dyDescent="0.25">
      <c r="A12" s="64" t="s">
        <v>49</v>
      </c>
      <c r="B12" s="65">
        <f>SUM(B5:B11)</f>
        <v>458.5</v>
      </c>
      <c r="C12" s="65"/>
      <c r="D12" s="65"/>
      <c r="E12" s="65"/>
      <c r="F12" s="65"/>
      <c r="G12" s="66">
        <f>SUM(G5:G11)</f>
        <v>806.20400000000006</v>
      </c>
      <c r="H12" s="65"/>
      <c r="I12" s="65"/>
      <c r="J12" s="65"/>
      <c r="K12" s="65"/>
      <c r="L12" s="65"/>
      <c r="M12" s="67">
        <f t="shared" ref="M12:U12" si="8">SUM(M5:M11)</f>
        <v>1532.85</v>
      </c>
      <c r="N12" s="67">
        <f t="shared" si="8"/>
        <v>30.81600000000001</v>
      </c>
      <c r="O12" s="68">
        <f t="shared" si="8"/>
        <v>1.4985396957623316</v>
      </c>
      <c r="P12" s="67">
        <f t="shared" si="8"/>
        <v>3151.7640000000001</v>
      </c>
      <c r="Q12" s="67">
        <f t="shared" si="8"/>
        <v>636.36546030423767</v>
      </c>
      <c r="R12" s="67">
        <f t="shared" si="8"/>
        <v>28.192</v>
      </c>
      <c r="S12" s="67">
        <f t="shared" si="8"/>
        <v>98.75200000000001</v>
      </c>
      <c r="T12" s="67">
        <f t="shared" si="8"/>
        <v>19.771999999999998</v>
      </c>
      <c r="U12" s="69">
        <f t="shared" si="8"/>
        <v>795.62400000000002</v>
      </c>
      <c r="V12" s="57"/>
      <c r="W12" s="57"/>
    </row>
    <row r="13" spans="1:23" x14ac:dyDescent="0.2">
      <c r="A13" s="29"/>
      <c r="B13" s="29"/>
      <c r="C13" s="29"/>
      <c r="D13" s="29"/>
      <c r="E13" s="29"/>
      <c r="F13" s="29"/>
      <c r="G13" s="33"/>
      <c r="H13" s="29"/>
      <c r="I13" s="29"/>
      <c r="J13" s="29"/>
      <c r="K13" s="29"/>
      <c r="L13" s="29"/>
      <c r="M13" s="34"/>
      <c r="N13" s="35"/>
      <c r="O13" s="36"/>
      <c r="P13" s="34"/>
      <c r="Q13" s="34"/>
      <c r="R13" s="34"/>
      <c r="S13" s="34"/>
      <c r="T13" s="36"/>
      <c r="U13" s="34"/>
    </row>
    <row r="14" spans="1:23" ht="13.5" thickBot="1" x14ac:dyDescent="0.25">
      <c r="A14" s="5" t="s">
        <v>51</v>
      </c>
      <c r="B14" s="5"/>
      <c r="C14" s="5"/>
      <c r="D14" s="5"/>
      <c r="E14" s="5"/>
      <c r="F14" s="5"/>
      <c r="G14" s="6"/>
      <c r="H14" s="5"/>
      <c r="I14" s="5"/>
      <c r="J14" s="5"/>
      <c r="K14" s="5"/>
      <c r="L14" s="5"/>
      <c r="M14" s="7"/>
      <c r="N14" s="7"/>
      <c r="O14" s="8"/>
      <c r="P14" s="7"/>
      <c r="Q14" s="7"/>
      <c r="R14" s="7"/>
      <c r="S14" s="7"/>
      <c r="T14" s="5"/>
      <c r="U14" s="5"/>
    </row>
    <row r="15" spans="1:23" ht="48.75" thickBot="1" x14ac:dyDescent="0.25">
      <c r="A15" s="76" t="s">
        <v>1</v>
      </c>
      <c r="B15" s="77" t="s">
        <v>28</v>
      </c>
      <c r="C15" s="77" t="s">
        <v>29</v>
      </c>
      <c r="D15" s="77" t="s">
        <v>30</v>
      </c>
      <c r="E15" s="77" t="s">
        <v>33</v>
      </c>
      <c r="F15" s="77" t="s">
        <v>41</v>
      </c>
      <c r="G15" s="78" t="s">
        <v>31</v>
      </c>
      <c r="H15" s="77" t="s">
        <v>34</v>
      </c>
      <c r="I15" s="77" t="s">
        <v>5</v>
      </c>
      <c r="J15" s="77" t="s">
        <v>3</v>
      </c>
      <c r="K15" s="77" t="s">
        <v>6</v>
      </c>
      <c r="L15" s="79" t="s">
        <v>35</v>
      </c>
      <c r="M15" s="80" t="s">
        <v>36</v>
      </c>
      <c r="N15" s="80" t="s">
        <v>50</v>
      </c>
      <c r="O15" s="81" t="s">
        <v>45</v>
      </c>
      <c r="P15" s="80" t="s">
        <v>39</v>
      </c>
      <c r="Q15" s="80" t="s">
        <v>40</v>
      </c>
      <c r="R15" s="80" t="s">
        <v>42</v>
      </c>
      <c r="S15" s="80" t="s">
        <v>43</v>
      </c>
      <c r="T15" s="77" t="s">
        <v>11</v>
      </c>
      <c r="U15" s="82" t="s">
        <v>13</v>
      </c>
    </row>
    <row r="16" spans="1:23" ht="36" x14ac:dyDescent="0.2">
      <c r="A16" s="70" t="s">
        <v>104</v>
      </c>
      <c r="B16" s="71">
        <v>23.1</v>
      </c>
      <c r="C16" s="71">
        <v>1.25</v>
      </c>
      <c r="D16" s="71"/>
      <c r="E16" s="71" t="s">
        <v>55</v>
      </c>
      <c r="F16" s="71">
        <v>150</v>
      </c>
      <c r="G16" s="72">
        <f>B16*C16*D16</f>
        <v>0</v>
      </c>
      <c r="H16" s="83" t="s">
        <v>77</v>
      </c>
      <c r="I16" s="94"/>
      <c r="J16" s="101" t="s">
        <v>78</v>
      </c>
      <c r="K16" s="71">
        <f>C16-0.4</f>
        <v>0.85</v>
      </c>
      <c r="L16" s="71">
        <v>0</v>
      </c>
      <c r="M16" s="73">
        <v>0</v>
      </c>
      <c r="N16" s="73">
        <f>B16*D16*0.1</f>
        <v>0</v>
      </c>
      <c r="O16" s="74">
        <f>B16*L16</f>
        <v>0</v>
      </c>
      <c r="P16" s="73">
        <v>0</v>
      </c>
      <c r="Q16" s="106">
        <f>(B16*D16*K16)-N16-O16</f>
        <v>0</v>
      </c>
      <c r="R16" s="73">
        <f>2*D16*0.3</f>
        <v>0</v>
      </c>
      <c r="S16" s="73">
        <f>1.5*D16*0.3</f>
        <v>0</v>
      </c>
      <c r="T16" s="74">
        <f>2*D16*0.1</f>
        <v>0</v>
      </c>
      <c r="U16" s="75">
        <f t="shared" ref="U16:U23" si="9">N16+O16+R16+Q16+S16</f>
        <v>0</v>
      </c>
      <c r="V16" s="29" t="s">
        <v>112</v>
      </c>
    </row>
    <row r="17" spans="1:22" ht="24" x14ac:dyDescent="0.2">
      <c r="A17" s="70" t="s">
        <v>105</v>
      </c>
      <c r="B17" s="71">
        <v>37.5</v>
      </c>
      <c r="C17" s="71">
        <v>1.45</v>
      </c>
      <c r="D17" s="71">
        <v>0.8</v>
      </c>
      <c r="E17" s="71" t="s">
        <v>53</v>
      </c>
      <c r="F17" s="71">
        <v>250</v>
      </c>
      <c r="G17" s="72">
        <f>14.8*C17*D17</f>
        <v>17.168000000000003</v>
      </c>
      <c r="H17" s="71" t="s">
        <v>48</v>
      </c>
      <c r="I17" s="71"/>
      <c r="J17" s="83" t="s">
        <v>78</v>
      </c>
      <c r="K17" s="71">
        <v>0.7</v>
      </c>
      <c r="L17" s="71">
        <f>(F17/2000)^2*PI()</f>
        <v>4.9087385212340517E-2</v>
      </c>
      <c r="M17" s="73">
        <f>14.8*C17*2*0.75</f>
        <v>32.19</v>
      </c>
      <c r="N17" s="73">
        <f>14.8*D17*0.1</f>
        <v>1.1840000000000002</v>
      </c>
      <c r="O17" s="74">
        <f>37.5*L17</f>
        <v>1.8407769454627694</v>
      </c>
      <c r="P17" s="73">
        <v>0</v>
      </c>
      <c r="Q17" s="106">
        <v>0</v>
      </c>
      <c r="R17" s="73">
        <f>14.8*D17*0.7-N17-O17</f>
        <v>5.2632230545372307</v>
      </c>
      <c r="S17" s="73">
        <f>14.8*D17*0.4</f>
        <v>4.7360000000000007</v>
      </c>
      <c r="T17" s="74">
        <f>14.8*D17*0.35</f>
        <v>4.1440000000000001</v>
      </c>
      <c r="U17" s="75">
        <f>N17+O17+R17+Q17+S17</f>
        <v>13.024000000000001</v>
      </c>
      <c r="V17" s="29" t="s">
        <v>162</v>
      </c>
    </row>
    <row r="18" spans="1:22" ht="24" x14ac:dyDescent="0.2">
      <c r="A18" s="70" t="s">
        <v>105</v>
      </c>
      <c r="B18" s="71">
        <v>24.6</v>
      </c>
      <c r="C18" s="71">
        <v>1.4</v>
      </c>
      <c r="D18" s="71"/>
      <c r="E18" s="71" t="s">
        <v>54</v>
      </c>
      <c r="F18" s="71">
        <v>200</v>
      </c>
      <c r="G18" s="72">
        <v>0</v>
      </c>
      <c r="H18" s="71"/>
      <c r="I18" s="71"/>
      <c r="J18" s="83" t="s">
        <v>78</v>
      </c>
      <c r="K18" s="71">
        <v>0.6</v>
      </c>
      <c r="L18" s="71">
        <f>(F18/2000)^2*PI()</f>
        <v>3.1415926535897934E-2</v>
      </c>
      <c r="M18" s="73">
        <v>0</v>
      </c>
      <c r="N18" s="73">
        <f>B18*D18*0.1</f>
        <v>0</v>
      </c>
      <c r="O18" s="74">
        <f>B18*L18</f>
        <v>0.77283179278308922</v>
      </c>
      <c r="P18" s="73">
        <v>0</v>
      </c>
      <c r="Q18" s="106">
        <f>(B18*D18*K18)-N18-O18</f>
        <v>-0.77283179278308922</v>
      </c>
      <c r="R18" s="73">
        <f>B18*D18*0.3</f>
        <v>0</v>
      </c>
      <c r="S18" s="73">
        <f>B18*D18*0.3*0</f>
        <v>0</v>
      </c>
      <c r="T18" s="74">
        <f>B18*D18*0.1</f>
        <v>0</v>
      </c>
      <c r="U18" s="75">
        <f t="shared" si="9"/>
        <v>0</v>
      </c>
      <c r="V18" s="29" t="s">
        <v>113</v>
      </c>
    </row>
    <row r="19" spans="1:22" ht="24" x14ac:dyDescent="0.2">
      <c r="A19" s="70" t="s">
        <v>105</v>
      </c>
      <c r="B19" s="56">
        <f>2.7+2.3+3.5</f>
        <v>8.5</v>
      </c>
      <c r="C19" s="16">
        <v>1.35</v>
      </c>
      <c r="D19" s="16">
        <v>0.5</v>
      </c>
      <c r="E19" s="71" t="s">
        <v>55</v>
      </c>
      <c r="F19" s="16">
        <v>150</v>
      </c>
      <c r="G19" s="72">
        <f>B19*C19*D19</f>
        <v>5.7375000000000007</v>
      </c>
      <c r="H19" s="83" t="s">
        <v>75</v>
      </c>
      <c r="I19" s="16"/>
      <c r="J19" s="56" t="s">
        <v>78</v>
      </c>
      <c r="K19" s="16">
        <v>0.55000000000000004</v>
      </c>
      <c r="L19" s="16">
        <v>0</v>
      </c>
      <c r="M19" s="18">
        <f>B19*C19*2*0.75</f>
        <v>17.212500000000002</v>
      </c>
      <c r="N19" s="18">
        <f>B19*D19*0.1</f>
        <v>0.42500000000000004</v>
      </c>
      <c r="O19" s="19">
        <f>B19*L19</f>
        <v>0</v>
      </c>
      <c r="P19" s="73">
        <v>0</v>
      </c>
      <c r="Q19" s="108">
        <v>0</v>
      </c>
      <c r="R19" s="18">
        <f>B19*D19*K19-N19-O19</f>
        <v>1.9125000000000003</v>
      </c>
      <c r="S19" s="18">
        <f>B19*D19*0.4</f>
        <v>1.7000000000000002</v>
      </c>
      <c r="T19" s="19">
        <f>B19*D19*0.4</f>
        <v>1.7000000000000002</v>
      </c>
      <c r="U19" s="20">
        <f t="shared" si="9"/>
        <v>4.0375000000000005</v>
      </c>
      <c r="V19" s="29" t="s">
        <v>163</v>
      </c>
    </row>
    <row r="20" spans="1:22" ht="24" x14ac:dyDescent="0.2">
      <c r="A20" s="70" t="s">
        <v>108</v>
      </c>
      <c r="B20" s="71">
        <v>14.7</v>
      </c>
      <c r="C20" s="71">
        <v>1.25</v>
      </c>
      <c r="D20" s="71"/>
      <c r="E20" s="71" t="s">
        <v>54</v>
      </c>
      <c r="F20" s="71">
        <v>200</v>
      </c>
      <c r="G20" s="72">
        <f>4*C20*D20</f>
        <v>0</v>
      </c>
      <c r="H20" s="83" t="s">
        <v>118</v>
      </c>
      <c r="I20" s="71"/>
      <c r="J20" s="56" t="s">
        <v>78</v>
      </c>
      <c r="K20" s="71">
        <v>0.6</v>
      </c>
      <c r="L20" s="71">
        <f>(F20/2000)^2*PI()</f>
        <v>3.1415926535897934E-2</v>
      </c>
      <c r="M20" s="73">
        <v>0</v>
      </c>
      <c r="N20" s="73">
        <f>4*D20*0.1</f>
        <v>0</v>
      </c>
      <c r="O20" s="74">
        <f>15.7*L20</f>
        <v>0.49323004661359754</v>
      </c>
      <c r="P20" s="73">
        <v>0</v>
      </c>
      <c r="Q20" s="106">
        <f>(4*D20*K20)-N20-O20</f>
        <v>-0.49323004661359754</v>
      </c>
      <c r="R20" s="73">
        <f>4*D20*0.3*0</f>
        <v>0</v>
      </c>
      <c r="S20" s="18">
        <f>4*D20*0.3</f>
        <v>0</v>
      </c>
      <c r="T20" s="19">
        <f>4*D20*0.1*0</f>
        <v>0</v>
      </c>
      <c r="U20" s="20">
        <f t="shared" si="9"/>
        <v>0</v>
      </c>
      <c r="V20" s="29" t="s">
        <v>114</v>
      </c>
    </row>
    <row r="21" spans="1:22" ht="24" x14ac:dyDescent="0.2">
      <c r="A21" s="70" t="s">
        <v>108</v>
      </c>
      <c r="B21" s="71">
        <v>46.3</v>
      </c>
      <c r="C21" s="71">
        <v>1.25</v>
      </c>
      <c r="D21" s="71"/>
      <c r="E21" s="71" t="s">
        <v>55</v>
      </c>
      <c r="F21" s="71">
        <v>150</v>
      </c>
      <c r="G21" s="72">
        <f>B21*C21*D21</f>
        <v>0</v>
      </c>
      <c r="H21" s="83" t="s">
        <v>117</v>
      </c>
      <c r="I21" s="71"/>
      <c r="J21" s="83" t="s">
        <v>78</v>
      </c>
      <c r="K21" s="71">
        <v>0.55000000000000004</v>
      </c>
      <c r="L21" s="71">
        <v>0</v>
      </c>
      <c r="M21" s="73">
        <v>0</v>
      </c>
      <c r="N21" s="73">
        <f>B21*D21*0.1</f>
        <v>0</v>
      </c>
      <c r="O21" s="74">
        <f>B21*L21</f>
        <v>0</v>
      </c>
      <c r="P21" s="73">
        <v>0</v>
      </c>
      <c r="Q21" s="106">
        <f>(B21*D21*K21)-N21-O21</f>
        <v>0</v>
      </c>
      <c r="R21" s="73">
        <f>B21*D21*0.3</f>
        <v>0</v>
      </c>
      <c r="S21" s="73">
        <f>(B21)*D21*0.3</f>
        <v>0</v>
      </c>
      <c r="T21" s="74">
        <f>B21*D21*0.1</f>
        <v>0</v>
      </c>
      <c r="U21" s="75">
        <f t="shared" si="9"/>
        <v>0</v>
      </c>
      <c r="V21" s="29" t="s">
        <v>114</v>
      </c>
    </row>
    <row r="22" spans="1:22" ht="24" x14ac:dyDescent="0.2">
      <c r="A22" s="70" t="s">
        <v>109</v>
      </c>
      <c r="B22" s="71">
        <v>23.1</v>
      </c>
      <c r="C22" s="71">
        <v>1.25</v>
      </c>
      <c r="D22" s="71"/>
      <c r="E22" s="71" t="s">
        <v>55</v>
      </c>
      <c r="F22" s="71">
        <v>150</v>
      </c>
      <c r="G22" s="72">
        <f>B22*C22*D22</f>
        <v>0</v>
      </c>
      <c r="H22" s="83" t="s">
        <v>118</v>
      </c>
      <c r="I22" s="71"/>
      <c r="J22" s="56" t="s">
        <v>78</v>
      </c>
      <c r="K22" s="71">
        <v>0.55000000000000004</v>
      </c>
      <c r="L22" s="71">
        <v>0</v>
      </c>
      <c r="M22" s="73">
        <v>0</v>
      </c>
      <c r="N22" s="73">
        <f>B22*D22*0.1</f>
        <v>0</v>
      </c>
      <c r="O22" s="74">
        <f>B22*L22</f>
        <v>0</v>
      </c>
      <c r="P22" s="73">
        <v>0</v>
      </c>
      <c r="Q22" s="106">
        <f>(B22*D22*K22)-N22-O22</f>
        <v>0</v>
      </c>
      <c r="R22" s="73">
        <f>B22*D22*0.3</f>
        <v>0</v>
      </c>
      <c r="S22" s="73">
        <f>(B22)*D22*0.3</f>
        <v>0</v>
      </c>
      <c r="T22" s="74">
        <f>B22*D22*0.1</f>
        <v>0</v>
      </c>
      <c r="U22" s="75">
        <f t="shared" si="9"/>
        <v>0</v>
      </c>
      <c r="V22" s="29" t="s">
        <v>115</v>
      </c>
    </row>
    <row r="23" spans="1:22" ht="24.75" thickBot="1" x14ac:dyDescent="0.25">
      <c r="A23" s="58" t="s">
        <v>110</v>
      </c>
      <c r="B23" s="59">
        <v>47.4</v>
      </c>
      <c r="C23" s="59">
        <v>1.25</v>
      </c>
      <c r="D23" s="59"/>
      <c r="E23" s="59" t="s">
        <v>55</v>
      </c>
      <c r="F23" s="59">
        <v>150</v>
      </c>
      <c r="G23" s="60">
        <f>B23*C23*D23</f>
        <v>0</v>
      </c>
      <c r="H23" s="93" t="s">
        <v>56</v>
      </c>
      <c r="I23" s="59"/>
      <c r="J23" s="102" t="s">
        <v>78</v>
      </c>
      <c r="K23" s="59">
        <v>0.55000000000000004</v>
      </c>
      <c r="L23" s="59">
        <v>0</v>
      </c>
      <c r="M23" s="61">
        <v>0</v>
      </c>
      <c r="N23" s="61">
        <f>B23*D23*0.1</f>
        <v>0</v>
      </c>
      <c r="O23" s="62">
        <f>B23*L23</f>
        <v>0</v>
      </c>
      <c r="P23" s="61">
        <v>0</v>
      </c>
      <c r="Q23" s="109">
        <f>(B23*D23*K23)-N23-O23</f>
        <v>0</v>
      </c>
      <c r="R23" s="61">
        <f>B23*D23*0</f>
        <v>0</v>
      </c>
      <c r="S23" s="61">
        <f>B23*D23*0.3</f>
        <v>0</v>
      </c>
      <c r="T23" s="62">
        <f>B23*D23*0.1*0</f>
        <v>0</v>
      </c>
      <c r="U23" s="63">
        <f t="shared" si="9"/>
        <v>0</v>
      </c>
      <c r="V23" s="29" t="s">
        <v>116</v>
      </c>
    </row>
    <row r="24" spans="1:22" ht="14.25" thickTop="1" thickBot="1" x14ac:dyDescent="0.25">
      <c r="A24" s="64" t="s">
        <v>49</v>
      </c>
      <c r="B24" s="65">
        <f>SUM(B16:B23)</f>
        <v>225.2</v>
      </c>
      <c r="C24" s="65"/>
      <c r="D24" s="65"/>
      <c r="E24" s="65"/>
      <c r="F24" s="65"/>
      <c r="G24" s="66">
        <f>SUM(G16:G23)</f>
        <v>22.905500000000004</v>
      </c>
      <c r="H24" s="65"/>
      <c r="I24" s="65"/>
      <c r="J24" s="65"/>
      <c r="K24" s="65"/>
      <c r="L24" s="65"/>
      <c r="M24" s="67">
        <f t="shared" ref="M24:U24" si="10">SUM(M16:M23)</f>
        <v>49.402500000000003</v>
      </c>
      <c r="N24" s="67">
        <f t="shared" si="10"/>
        <v>1.6090000000000002</v>
      </c>
      <c r="O24" s="68">
        <f t="shared" si="10"/>
        <v>3.1068387848594559</v>
      </c>
      <c r="P24" s="67">
        <f t="shared" si="10"/>
        <v>0</v>
      </c>
      <c r="Q24" s="107">
        <f t="shared" si="10"/>
        <v>-1.2660618393966867</v>
      </c>
      <c r="R24" s="67">
        <f t="shared" si="10"/>
        <v>7.1757230545372312</v>
      </c>
      <c r="S24" s="67">
        <f t="shared" si="10"/>
        <v>6.4360000000000008</v>
      </c>
      <c r="T24" s="67">
        <f t="shared" si="10"/>
        <v>5.8440000000000003</v>
      </c>
      <c r="U24" s="69">
        <f t="shared" si="10"/>
        <v>17.061500000000002</v>
      </c>
    </row>
    <row r="25" spans="1:22" x14ac:dyDescent="0.2">
      <c r="A25" s="29"/>
      <c r="B25" s="29"/>
      <c r="C25" s="29"/>
      <c r="D25" s="29"/>
      <c r="E25" s="29"/>
      <c r="F25" s="29"/>
      <c r="G25" s="33"/>
      <c r="H25" s="29"/>
      <c r="I25" s="29"/>
      <c r="J25" s="29"/>
      <c r="K25" s="29"/>
      <c r="L25" s="29"/>
      <c r="M25" s="34"/>
      <c r="N25" s="34"/>
      <c r="O25" s="36"/>
      <c r="P25" s="34"/>
      <c r="Q25" s="34"/>
      <c r="R25" s="34"/>
      <c r="S25" s="34"/>
      <c r="T25" s="36"/>
      <c r="U25" s="34"/>
    </row>
    <row r="26" spans="1:22" ht="13.5" thickBot="1" x14ac:dyDescent="0.25">
      <c r="A26" s="5" t="s">
        <v>142</v>
      </c>
      <c r="B26" s="5"/>
      <c r="C26" s="5"/>
      <c r="D26" s="5"/>
      <c r="E26" s="5"/>
      <c r="F26" s="5"/>
      <c r="G26" s="6"/>
      <c r="H26" s="5"/>
      <c r="I26" s="5"/>
      <c r="J26" s="5"/>
      <c r="K26" s="5"/>
      <c r="L26" s="5"/>
      <c r="M26" s="7"/>
      <c r="N26" s="7"/>
      <c r="O26" s="8"/>
      <c r="P26" s="7"/>
      <c r="Q26" s="7"/>
      <c r="R26" s="7"/>
      <c r="S26" s="7"/>
      <c r="T26" s="5"/>
      <c r="U26" s="5"/>
    </row>
    <row r="27" spans="1:22" ht="48.75" thickBot="1" x14ac:dyDescent="0.25">
      <c r="A27" s="76" t="s">
        <v>1</v>
      </c>
      <c r="B27" s="77" t="s">
        <v>28</v>
      </c>
      <c r="C27" s="77" t="s">
        <v>29</v>
      </c>
      <c r="D27" s="77" t="s">
        <v>30</v>
      </c>
      <c r="E27" s="77" t="s">
        <v>33</v>
      </c>
      <c r="F27" s="77" t="s">
        <v>41</v>
      </c>
      <c r="G27" s="78" t="s">
        <v>31</v>
      </c>
      <c r="H27" s="77" t="s">
        <v>34</v>
      </c>
      <c r="I27" s="77" t="s">
        <v>5</v>
      </c>
      <c r="J27" s="77" t="s">
        <v>3</v>
      </c>
      <c r="K27" s="77" t="s">
        <v>6</v>
      </c>
      <c r="L27" s="79" t="s">
        <v>35</v>
      </c>
      <c r="M27" s="80" t="s">
        <v>36</v>
      </c>
      <c r="N27" s="80" t="s">
        <v>50</v>
      </c>
      <c r="O27" s="81" t="s">
        <v>45</v>
      </c>
      <c r="P27" s="80" t="s">
        <v>39</v>
      </c>
      <c r="Q27" s="80" t="s">
        <v>40</v>
      </c>
      <c r="R27" s="80" t="s">
        <v>42</v>
      </c>
      <c r="S27" s="80" t="s">
        <v>43</v>
      </c>
      <c r="T27" s="77" t="s">
        <v>11</v>
      </c>
      <c r="U27" s="82" t="s">
        <v>13</v>
      </c>
    </row>
    <row r="28" spans="1:22" ht="24" x14ac:dyDescent="0.2">
      <c r="A28" s="70" t="s">
        <v>164</v>
      </c>
      <c r="B28" s="71">
        <v>41.9</v>
      </c>
      <c r="C28" s="71">
        <v>1.25</v>
      </c>
      <c r="D28" s="71">
        <v>0.5</v>
      </c>
      <c r="E28" s="71" t="s">
        <v>160</v>
      </c>
      <c r="F28" s="71">
        <v>32</v>
      </c>
      <c r="G28" s="72">
        <f>1.6*C28*D28</f>
        <v>1</v>
      </c>
      <c r="H28" s="83" t="s">
        <v>152</v>
      </c>
      <c r="I28" s="105" t="s">
        <v>167</v>
      </c>
      <c r="J28" s="56" t="s">
        <v>168</v>
      </c>
      <c r="K28" s="16">
        <v>0.5</v>
      </c>
      <c r="L28" s="71">
        <v>0</v>
      </c>
      <c r="M28" s="73">
        <v>0</v>
      </c>
      <c r="N28" s="73">
        <f>1.6*D28*0.1</f>
        <v>8.0000000000000016E-2</v>
      </c>
      <c r="O28" s="74">
        <f>B28*L28</f>
        <v>0</v>
      </c>
      <c r="P28" s="73">
        <v>0</v>
      </c>
      <c r="Q28" s="106">
        <v>0</v>
      </c>
      <c r="R28" s="73">
        <f>1.6*D28*K28</f>
        <v>0.4</v>
      </c>
      <c r="S28" s="73">
        <f>1.6*D28*0.4</f>
        <v>0.32000000000000006</v>
      </c>
      <c r="T28" s="74">
        <f>1.6*D28*0.35</f>
        <v>0.27999999999999997</v>
      </c>
      <c r="U28" s="75">
        <f>N28+O28+R28+Q28+S28</f>
        <v>0.8</v>
      </c>
      <c r="V28" s="29" t="s">
        <v>166</v>
      </c>
    </row>
    <row r="29" spans="1:22" ht="24" x14ac:dyDescent="0.2">
      <c r="A29" s="70" t="s">
        <v>165</v>
      </c>
      <c r="B29" s="71">
        <v>67</v>
      </c>
      <c r="C29" s="71">
        <v>1.1499999999999999</v>
      </c>
      <c r="D29" s="71">
        <v>0.5</v>
      </c>
      <c r="E29" s="71" t="s">
        <v>160</v>
      </c>
      <c r="F29" s="71">
        <v>32</v>
      </c>
      <c r="G29" s="72">
        <f>1.4*C29*D29</f>
        <v>0.80499999999999994</v>
      </c>
      <c r="H29" s="83" t="s">
        <v>152</v>
      </c>
      <c r="I29" s="71" t="s">
        <v>76</v>
      </c>
      <c r="J29" s="83" t="s">
        <v>78</v>
      </c>
      <c r="K29" s="71">
        <v>0.5</v>
      </c>
      <c r="L29" s="71">
        <v>0</v>
      </c>
      <c r="M29" s="73">
        <v>0</v>
      </c>
      <c r="N29" s="73">
        <f>1.4*D29*0.1</f>
        <v>6.9999999999999993E-2</v>
      </c>
      <c r="O29" s="74">
        <f>B29*L29</f>
        <v>0</v>
      </c>
      <c r="P29" s="73">
        <v>0</v>
      </c>
      <c r="Q29" s="106">
        <v>0</v>
      </c>
      <c r="R29" s="73">
        <f>(1.4*D29*K29)-N29-O29</f>
        <v>0.27999999999999997</v>
      </c>
      <c r="S29" s="73">
        <f>1.4*D29*0.4</f>
        <v>0.27999999999999997</v>
      </c>
      <c r="T29" s="74">
        <f>1.4*D29*0.25</f>
        <v>0.17499999999999999</v>
      </c>
      <c r="U29" s="75">
        <f>N29+O29+R29+Q29+S29</f>
        <v>0.62999999999999989</v>
      </c>
      <c r="V29" s="29" t="s">
        <v>169</v>
      </c>
    </row>
    <row r="30" spans="1:22" ht="13.5" thickBot="1" x14ac:dyDescent="0.25">
      <c r="A30" s="64" t="s">
        <v>49</v>
      </c>
      <c r="B30" s="65">
        <f>SUM(B28:B29)</f>
        <v>108.9</v>
      </c>
      <c r="C30" s="65"/>
      <c r="D30" s="65"/>
      <c r="E30" s="65"/>
      <c r="F30" s="65"/>
      <c r="G30" s="66">
        <f>SUM(G28:G29)</f>
        <v>1.8049999999999999</v>
      </c>
      <c r="H30" s="65"/>
      <c r="I30" s="65"/>
      <c r="J30" s="65"/>
      <c r="K30" s="65"/>
      <c r="L30" s="65"/>
      <c r="M30" s="67">
        <f t="shared" ref="M30:U30" si="11">SUM(M28:M29)</f>
        <v>0</v>
      </c>
      <c r="N30" s="67">
        <f t="shared" si="11"/>
        <v>0.15000000000000002</v>
      </c>
      <c r="O30" s="68">
        <f t="shared" si="11"/>
        <v>0</v>
      </c>
      <c r="P30" s="67">
        <f t="shared" si="11"/>
        <v>0</v>
      </c>
      <c r="Q30" s="107">
        <f t="shared" si="11"/>
        <v>0</v>
      </c>
      <c r="R30" s="67">
        <f t="shared" si="11"/>
        <v>0.67999999999999994</v>
      </c>
      <c r="S30" s="67">
        <f t="shared" si="11"/>
        <v>0.60000000000000009</v>
      </c>
      <c r="T30" s="67">
        <f t="shared" si="11"/>
        <v>0.45499999999999996</v>
      </c>
      <c r="U30" s="69">
        <f t="shared" si="11"/>
        <v>1.43</v>
      </c>
    </row>
    <row r="31" spans="1:22" ht="13.5" thickBot="1" x14ac:dyDescent="0.25">
      <c r="A31" s="29"/>
      <c r="B31" s="29"/>
      <c r="C31" s="29"/>
      <c r="D31" s="29"/>
      <c r="E31" s="29"/>
      <c r="F31" s="29"/>
      <c r="G31" s="33"/>
      <c r="H31" s="29"/>
      <c r="I31" s="29"/>
      <c r="J31" s="29"/>
      <c r="K31" s="29"/>
      <c r="L31" s="29"/>
      <c r="M31" s="34"/>
      <c r="N31" s="34"/>
      <c r="O31" s="36"/>
      <c r="P31" s="34"/>
      <c r="Q31" s="34"/>
      <c r="R31" s="34"/>
      <c r="S31" s="34"/>
      <c r="T31" s="36"/>
      <c r="U31" s="34"/>
    </row>
    <row r="32" spans="1:22" ht="13.5" thickBot="1" x14ac:dyDescent="0.25">
      <c r="A32" s="84" t="s">
        <v>119</v>
      </c>
      <c r="B32" s="85">
        <f>SUM(B12,B24,B30)</f>
        <v>792.6</v>
      </c>
      <c r="C32" s="86"/>
      <c r="D32" s="86"/>
      <c r="E32" s="86"/>
      <c r="F32" s="86"/>
      <c r="G32" s="87">
        <f>SUM(G24,G12,G30)</f>
        <v>830.91449999999998</v>
      </c>
      <c r="H32" s="86"/>
      <c r="I32" s="86"/>
      <c r="J32" s="86"/>
      <c r="K32" s="86"/>
      <c r="L32" s="86"/>
      <c r="M32" s="87">
        <f>SUM(M24,M12,M30)</f>
        <v>1582.2524999999998</v>
      </c>
      <c r="N32" s="87">
        <f>SUM(N24,N12,N30)</f>
        <v>32.57500000000001</v>
      </c>
      <c r="O32" s="87">
        <f t="shared" ref="O32:U32" si="12">SUM(O24,O12,O30)</f>
        <v>4.6053784806217877</v>
      </c>
      <c r="P32" s="87">
        <f t="shared" si="12"/>
        <v>3151.7640000000001</v>
      </c>
      <c r="Q32" s="87">
        <f t="shared" si="12"/>
        <v>635.09939846484099</v>
      </c>
      <c r="R32" s="87">
        <f t="shared" si="12"/>
        <v>36.047723054537229</v>
      </c>
      <c r="S32" s="87">
        <f t="shared" si="12"/>
        <v>105.78800000000001</v>
      </c>
      <c r="T32" s="87">
        <f t="shared" si="12"/>
        <v>26.070999999999998</v>
      </c>
      <c r="U32" s="87">
        <f t="shared" si="12"/>
        <v>814.1155</v>
      </c>
    </row>
    <row r="33" spans="1:25" x14ac:dyDescent="0.2">
      <c r="A33" s="29"/>
      <c r="B33" s="29"/>
      <c r="C33" s="29"/>
      <c r="D33" s="29"/>
      <c r="E33" s="29"/>
      <c r="F33" s="29"/>
      <c r="G33" s="33"/>
      <c r="H33" s="29"/>
      <c r="I33" s="29"/>
      <c r="J33" s="29"/>
      <c r="K33" s="29"/>
      <c r="L33" s="29"/>
      <c r="M33" s="34"/>
      <c r="N33" s="34"/>
      <c r="O33" s="36"/>
      <c r="P33" s="34"/>
      <c r="Q33" s="34"/>
      <c r="R33" s="34"/>
      <c r="S33" s="34"/>
      <c r="T33" s="36"/>
      <c r="U33" s="34"/>
    </row>
    <row r="34" spans="1:25" x14ac:dyDescent="0.2">
      <c r="A34" s="29" t="s">
        <v>57</v>
      </c>
      <c r="B34" s="29"/>
      <c r="C34" s="29"/>
      <c r="D34" s="29">
        <f>SUM(D35:D37)</f>
        <v>489.3</v>
      </c>
      <c r="E34" s="29" t="s">
        <v>60</v>
      </c>
      <c r="F34" s="29"/>
      <c r="G34" s="33"/>
      <c r="H34" s="29"/>
      <c r="I34" s="29"/>
      <c r="J34" s="29"/>
      <c r="K34" s="29"/>
      <c r="L34" s="29"/>
      <c r="M34" s="34"/>
      <c r="N34" s="34"/>
      <c r="O34" s="36"/>
      <c r="P34" s="34"/>
      <c r="Q34" s="34"/>
      <c r="R34" s="34"/>
      <c r="S34" s="34"/>
      <c r="T34" s="36"/>
      <c r="U34" s="34"/>
    </row>
    <row r="35" spans="1:25" x14ac:dyDescent="0.2">
      <c r="A35" s="29"/>
      <c r="B35" s="29" t="s">
        <v>58</v>
      </c>
      <c r="C35" s="29"/>
      <c r="D35" s="29">
        <f>B12</f>
        <v>458.5</v>
      </c>
      <c r="E35" s="29" t="s">
        <v>60</v>
      </c>
      <c r="F35" s="29"/>
      <c r="G35" s="33"/>
      <c r="H35" s="29"/>
      <c r="I35" s="29"/>
      <c r="J35" s="29"/>
      <c r="K35" s="29"/>
      <c r="L35" s="29"/>
      <c r="M35" s="34"/>
      <c r="N35" s="34"/>
      <c r="O35" s="36"/>
      <c r="P35" s="34"/>
      <c r="Q35" s="34"/>
      <c r="R35" s="34"/>
      <c r="S35" s="34"/>
      <c r="T35" s="36"/>
      <c r="U35" s="34"/>
      <c r="Y35" s="29"/>
    </row>
    <row r="36" spans="1:25" x14ac:dyDescent="0.2">
      <c r="A36" s="29"/>
      <c r="B36" s="29" t="s">
        <v>59</v>
      </c>
      <c r="C36" s="29"/>
      <c r="D36" s="29">
        <f>B19+15+0.6+3.7</f>
        <v>27.8</v>
      </c>
      <c r="E36" s="29" t="s">
        <v>60</v>
      </c>
      <c r="F36" s="29"/>
      <c r="G36" s="33"/>
      <c r="H36" s="29"/>
      <c r="I36" s="29"/>
      <c r="J36" s="29"/>
      <c r="K36" s="29"/>
      <c r="L36" s="29"/>
      <c r="M36" s="34"/>
      <c r="N36" s="34"/>
      <c r="O36" s="36"/>
      <c r="P36" s="34"/>
      <c r="Q36" s="34"/>
      <c r="R36" s="34"/>
      <c r="S36" s="34"/>
      <c r="T36" s="36"/>
      <c r="U36" s="34"/>
      <c r="Y36" s="29"/>
    </row>
    <row r="37" spans="1:25" x14ac:dyDescent="0.2">
      <c r="A37" s="29"/>
      <c r="B37" s="29" t="s">
        <v>154</v>
      </c>
      <c r="C37" s="29"/>
      <c r="D37" s="29">
        <f>1.6+1.4</f>
        <v>3</v>
      </c>
      <c r="E37" s="29" t="s">
        <v>60</v>
      </c>
      <c r="F37" s="29"/>
      <c r="G37" s="33"/>
      <c r="H37" s="29"/>
      <c r="I37" s="29"/>
      <c r="J37" s="29"/>
      <c r="K37" s="29"/>
      <c r="L37" s="29"/>
      <c r="M37" s="34"/>
      <c r="N37" s="34"/>
      <c r="O37" s="36"/>
      <c r="P37" s="34"/>
      <c r="Q37" s="34"/>
      <c r="R37" s="34"/>
      <c r="S37" s="34"/>
      <c r="T37" s="36"/>
      <c r="U37" s="34"/>
      <c r="Y37" s="29"/>
    </row>
    <row r="38" spans="1:25" x14ac:dyDescent="0.2">
      <c r="A38" s="29"/>
      <c r="B38" s="29"/>
      <c r="C38" s="29"/>
      <c r="D38" s="29"/>
      <c r="E38" s="29"/>
      <c r="F38" s="29"/>
      <c r="G38" s="33"/>
      <c r="H38" s="29"/>
      <c r="I38" s="29"/>
      <c r="J38" s="29"/>
      <c r="K38" s="29"/>
      <c r="L38" s="29"/>
      <c r="M38" s="34"/>
      <c r="N38" s="34"/>
      <c r="O38" s="36"/>
      <c r="P38" s="34"/>
      <c r="Q38" s="34"/>
      <c r="R38" s="34"/>
      <c r="S38" s="34"/>
      <c r="T38" s="36"/>
      <c r="U38" s="34"/>
      <c r="Y38" s="29"/>
    </row>
    <row r="39" spans="1:25" x14ac:dyDescent="0.2">
      <c r="A39" s="29"/>
      <c r="B39" s="29"/>
      <c r="C39" s="29"/>
      <c r="D39" s="29"/>
      <c r="E39" s="29"/>
      <c r="F39" s="29"/>
      <c r="G39" s="33"/>
      <c r="H39" s="29"/>
      <c r="I39" s="29"/>
      <c r="J39" s="29"/>
      <c r="K39" s="29"/>
      <c r="L39" s="29"/>
      <c r="M39" s="34"/>
      <c r="N39" s="34"/>
      <c r="O39" s="36"/>
      <c r="P39" s="34"/>
      <c r="Q39" s="34"/>
      <c r="R39" s="34"/>
      <c r="S39" s="34"/>
      <c r="T39" s="36"/>
      <c r="U39" s="34"/>
      <c r="Y39" s="30"/>
    </row>
    <row r="40" spans="1:25" x14ac:dyDescent="0.2">
      <c r="A40" s="29"/>
      <c r="B40" s="29"/>
      <c r="C40" s="29"/>
      <c r="D40" s="29"/>
      <c r="E40" s="29"/>
      <c r="F40" s="29"/>
      <c r="G40" s="33"/>
      <c r="H40" s="29"/>
      <c r="I40" s="29"/>
      <c r="J40" s="29"/>
      <c r="K40" s="29"/>
      <c r="L40" s="29"/>
      <c r="M40" s="34"/>
      <c r="N40" s="34"/>
      <c r="O40" s="36"/>
      <c r="P40" s="34"/>
      <c r="Q40" s="34"/>
      <c r="R40" s="34"/>
      <c r="S40" s="34"/>
      <c r="T40" s="36"/>
      <c r="U40" s="34"/>
      <c r="Y40" s="29"/>
    </row>
    <row r="41" spans="1:25" x14ac:dyDescent="0.2">
      <c r="A41" s="29"/>
      <c r="B41" s="29"/>
      <c r="C41" s="29"/>
      <c r="D41" s="29"/>
      <c r="E41" s="29"/>
      <c r="F41" s="29"/>
      <c r="G41" s="33"/>
      <c r="H41" s="29"/>
      <c r="I41" s="29"/>
      <c r="J41" s="29"/>
      <c r="K41" s="29"/>
      <c r="L41" s="29"/>
      <c r="M41" s="34"/>
      <c r="N41" s="34"/>
      <c r="O41" s="36"/>
      <c r="P41" s="34"/>
      <c r="Q41" s="34"/>
      <c r="R41" s="34"/>
      <c r="S41" s="34"/>
      <c r="T41" s="36"/>
      <c r="U41" s="34"/>
      <c r="Y41" s="29"/>
    </row>
    <row r="42" spans="1:25" x14ac:dyDescent="0.2">
      <c r="A42" s="29"/>
      <c r="B42" s="29"/>
      <c r="C42" s="29"/>
      <c r="D42" s="29"/>
      <c r="E42" s="29"/>
      <c r="F42" s="29"/>
      <c r="G42" s="33"/>
      <c r="H42" s="29"/>
      <c r="I42" s="29"/>
      <c r="J42" s="29"/>
      <c r="K42" s="29"/>
      <c r="L42" s="29"/>
      <c r="M42" s="34"/>
      <c r="N42" s="34"/>
      <c r="O42" s="36"/>
      <c r="P42" s="34"/>
      <c r="Q42" s="34"/>
      <c r="R42" s="34"/>
      <c r="S42" s="34"/>
      <c r="T42" s="36"/>
      <c r="U42" s="34"/>
      <c r="Y42" s="29"/>
    </row>
    <row r="43" spans="1:25" x14ac:dyDescent="0.2">
      <c r="A43" s="29"/>
      <c r="B43" s="29"/>
      <c r="C43" s="29"/>
      <c r="D43" s="29"/>
      <c r="E43" s="29"/>
      <c r="F43" s="29"/>
      <c r="G43" s="33"/>
      <c r="H43" s="29"/>
      <c r="I43" s="29"/>
      <c r="J43" s="29"/>
      <c r="K43" s="29"/>
      <c r="L43" s="29"/>
      <c r="M43" s="34"/>
      <c r="N43" s="34"/>
      <c r="O43" s="36"/>
      <c r="P43" s="34"/>
      <c r="Q43" s="34"/>
      <c r="R43" s="34"/>
      <c r="S43" s="34"/>
      <c r="T43" s="36"/>
      <c r="U43" s="34"/>
      <c r="Y43" s="29"/>
    </row>
    <row r="44" spans="1:25" x14ac:dyDescent="0.2">
      <c r="A44" s="37"/>
      <c r="B44" s="37"/>
      <c r="C44" s="37"/>
      <c r="D44" s="37"/>
      <c r="E44" s="37"/>
      <c r="F44" s="37"/>
      <c r="G44" s="38"/>
      <c r="H44" s="37"/>
      <c r="I44" s="37"/>
      <c r="J44" s="37"/>
      <c r="K44" s="37"/>
      <c r="L44" s="37"/>
      <c r="M44" s="39"/>
      <c r="N44" s="39"/>
      <c r="O44" s="40"/>
      <c r="P44" s="39"/>
      <c r="Q44" s="39"/>
      <c r="R44" s="39"/>
      <c r="S44" s="39"/>
      <c r="T44" s="40"/>
      <c r="U44" s="39"/>
    </row>
    <row r="45" spans="1:25" x14ac:dyDescent="0.2">
      <c r="A45" s="37"/>
      <c r="B45" s="37"/>
      <c r="C45" s="37"/>
      <c r="D45" s="37"/>
      <c r="E45" s="37"/>
      <c r="F45" s="37"/>
      <c r="G45" s="38"/>
      <c r="H45" s="37"/>
      <c r="I45" s="37"/>
      <c r="J45" s="37"/>
      <c r="K45" s="37"/>
      <c r="L45" s="37"/>
      <c r="M45" s="39"/>
      <c r="N45" s="39"/>
      <c r="O45" s="40"/>
      <c r="P45" s="39"/>
      <c r="Q45" s="39"/>
      <c r="R45" s="39"/>
      <c r="S45" s="39"/>
      <c r="T45" s="40"/>
      <c r="U45" s="39"/>
    </row>
    <row r="46" spans="1:25" s="1" customFormat="1" ht="37.5" customHeight="1" x14ac:dyDescent="0.2">
      <c r="A46" s="41"/>
      <c r="B46" s="41"/>
      <c r="C46" s="41"/>
      <c r="D46" s="41"/>
      <c r="E46" s="41"/>
      <c r="F46" s="41"/>
      <c r="G46" s="42"/>
      <c r="H46" s="41"/>
      <c r="I46" s="41"/>
      <c r="J46" s="41"/>
      <c r="K46" s="41"/>
      <c r="L46" s="41"/>
      <c r="M46" s="43"/>
      <c r="N46" s="43"/>
      <c r="O46" s="44"/>
      <c r="P46" s="43"/>
      <c r="Q46" s="43"/>
      <c r="R46" s="43"/>
      <c r="S46" s="43"/>
      <c r="T46" s="41"/>
      <c r="U46" s="41"/>
      <c r="V46" s="28"/>
      <c r="W46" s="27"/>
    </row>
    <row r="47" spans="1:25" x14ac:dyDescent="0.2">
      <c r="A47" s="37"/>
      <c r="B47" s="37"/>
      <c r="C47" s="37"/>
      <c r="D47" s="37"/>
      <c r="E47" s="37"/>
      <c r="F47" s="37"/>
      <c r="G47" s="38"/>
      <c r="H47" s="37"/>
      <c r="I47" s="37"/>
      <c r="J47" s="37"/>
      <c r="K47" s="37"/>
      <c r="L47" s="37"/>
      <c r="M47" s="39"/>
      <c r="N47" s="39"/>
      <c r="O47" s="40"/>
      <c r="P47" s="39"/>
      <c r="Q47" s="39"/>
      <c r="R47" s="39"/>
      <c r="S47" s="39"/>
      <c r="T47" s="40"/>
      <c r="U47" s="39"/>
    </row>
    <row r="48" spans="1:25" x14ac:dyDescent="0.2">
      <c r="A48" s="37"/>
      <c r="B48" s="37"/>
      <c r="C48" s="37"/>
      <c r="D48" s="37"/>
      <c r="E48" s="37"/>
      <c r="F48" s="37"/>
      <c r="G48" s="38"/>
      <c r="H48" s="37"/>
      <c r="I48" s="37"/>
      <c r="J48" s="37"/>
      <c r="K48" s="37"/>
      <c r="L48" s="37"/>
      <c r="M48" s="39"/>
      <c r="N48" s="39"/>
      <c r="O48" s="40"/>
      <c r="P48" s="39"/>
      <c r="Q48" s="39"/>
      <c r="R48" s="39"/>
      <c r="S48" s="39"/>
      <c r="T48" s="40"/>
      <c r="U48" s="39"/>
    </row>
    <row r="49" spans="1:21" x14ac:dyDescent="0.2">
      <c r="A49" s="37"/>
      <c r="B49" s="37"/>
      <c r="C49" s="37"/>
      <c r="D49" s="37"/>
      <c r="E49" s="37"/>
      <c r="F49" s="37"/>
      <c r="G49" s="38"/>
      <c r="H49" s="37"/>
      <c r="I49" s="37"/>
      <c r="J49" s="37"/>
      <c r="K49" s="37"/>
      <c r="L49" s="37"/>
      <c r="M49" s="39"/>
      <c r="N49" s="39"/>
      <c r="O49" s="40"/>
      <c r="P49" s="39"/>
      <c r="Q49" s="39"/>
      <c r="R49" s="39"/>
      <c r="S49" s="39"/>
      <c r="T49" s="40"/>
      <c r="U49" s="39"/>
    </row>
    <row r="50" spans="1:21" x14ac:dyDescent="0.2">
      <c r="A50" s="37"/>
      <c r="B50" s="37"/>
      <c r="C50" s="37"/>
      <c r="D50" s="37"/>
      <c r="E50" s="37"/>
      <c r="F50" s="37"/>
      <c r="G50" s="38"/>
      <c r="H50" s="37"/>
      <c r="I50" s="37"/>
      <c r="J50" s="37"/>
      <c r="K50" s="37"/>
      <c r="L50" s="37"/>
      <c r="M50" s="39"/>
      <c r="N50" s="39"/>
      <c r="O50" s="40"/>
      <c r="P50" s="39"/>
      <c r="Q50" s="39"/>
      <c r="R50" s="39"/>
      <c r="S50" s="39"/>
      <c r="T50" s="40"/>
      <c r="U50" s="39"/>
    </row>
    <row r="51" spans="1:21" x14ac:dyDescent="0.2">
      <c r="A51" s="37"/>
      <c r="B51" s="37"/>
      <c r="C51" s="37"/>
      <c r="D51" s="37"/>
      <c r="E51" s="37"/>
      <c r="F51" s="37"/>
      <c r="G51" s="38"/>
      <c r="H51" s="37"/>
      <c r="I51" s="37"/>
      <c r="J51" s="37"/>
      <c r="K51" s="37"/>
      <c r="L51" s="37"/>
      <c r="M51" s="39"/>
      <c r="N51" s="39"/>
      <c r="O51" s="40"/>
      <c r="P51" s="39"/>
      <c r="Q51" s="39"/>
      <c r="R51" s="39"/>
      <c r="S51" s="39"/>
      <c r="T51" s="40"/>
      <c r="U51" s="39"/>
    </row>
    <row r="52" spans="1:21" x14ac:dyDescent="0.2">
      <c r="A52" s="37"/>
      <c r="B52" s="37"/>
      <c r="C52" s="37"/>
      <c r="D52" s="37"/>
      <c r="E52" s="37"/>
      <c r="F52" s="37"/>
      <c r="G52" s="38"/>
      <c r="H52" s="37"/>
      <c r="I52" s="37"/>
      <c r="J52" s="37"/>
      <c r="K52" s="37"/>
      <c r="L52" s="37"/>
      <c r="M52" s="39"/>
      <c r="N52" s="39"/>
      <c r="O52" s="40"/>
      <c r="P52" s="39"/>
      <c r="Q52" s="39"/>
      <c r="R52" s="39"/>
      <c r="S52" s="39"/>
      <c r="T52" s="40"/>
      <c r="U52" s="39"/>
    </row>
    <row r="53" spans="1:21" x14ac:dyDescent="0.2">
      <c r="A53" s="37"/>
      <c r="B53" s="37"/>
      <c r="C53" s="37"/>
      <c r="D53" s="37"/>
      <c r="E53" s="37"/>
      <c r="F53" s="37"/>
      <c r="G53" s="38"/>
      <c r="H53" s="37"/>
      <c r="I53" s="37"/>
      <c r="J53" s="37"/>
      <c r="K53" s="37"/>
      <c r="L53" s="37"/>
      <c r="M53" s="39"/>
      <c r="N53" s="39"/>
      <c r="O53" s="40"/>
      <c r="P53" s="39"/>
      <c r="Q53" s="39"/>
      <c r="R53" s="39"/>
      <c r="S53" s="39"/>
      <c r="T53" s="40"/>
      <c r="U53" s="39"/>
    </row>
    <row r="54" spans="1:21" x14ac:dyDescent="0.2">
      <c r="A54" s="37"/>
      <c r="B54" s="37"/>
      <c r="C54" s="37"/>
      <c r="D54" s="37"/>
      <c r="E54" s="37"/>
      <c r="F54" s="37"/>
      <c r="G54" s="38"/>
      <c r="H54" s="37"/>
      <c r="I54" s="37"/>
      <c r="J54" s="37"/>
      <c r="K54" s="37"/>
      <c r="L54" s="37"/>
      <c r="M54" s="39"/>
      <c r="N54" s="39"/>
      <c r="O54" s="40"/>
      <c r="P54" s="39"/>
      <c r="Q54" s="39"/>
      <c r="R54" s="39"/>
      <c r="S54" s="39"/>
      <c r="T54" s="40"/>
      <c r="U54" s="39"/>
    </row>
    <row r="55" spans="1:21" x14ac:dyDescent="0.2">
      <c r="A55" s="37"/>
      <c r="B55" s="37"/>
      <c r="C55" s="37"/>
      <c r="D55" s="37"/>
      <c r="E55" s="37"/>
      <c r="F55" s="37"/>
      <c r="G55" s="38"/>
      <c r="H55" s="37"/>
      <c r="I55" s="37"/>
      <c r="J55" s="37"/>
      <c r="K55" s="37"/>
      <c r="L55" s="37"/>
      <c r="M55" s="39"/>
      <c r="N55" s="39"/>
      <c r="O55" s="40"/>
      <c r="P55" s="39"/>
      <c r="Q55" s="39"/>
      <c r="R55" s="39"/>
      <c r="S55" s="39"/>
      <c r="T55" s="40"/>
      <c r="U55" s="39"/>
    </row>
    <row r="56" spans="1:21" x14ac:dyDescent="0.2">
      <c r="A56" s="37"/>
      <c r="B56" s="37"/>
      <c r="C56" s="37"/>
      <c r="D56" s="37"/>
      <c r="E56" s="37"/>
      <c r="F56" s="37"/>
      <c r="G56" s="38"/>
      <c r="H56" s="37"/>
      <c r="I56" s="37"/>
      <c r="J56" s="37"/>
      <c r="K56" s="37"/>
      <c r="L56" s="37"/>
      <c r="M56" s="39"/>
      <c r="N56" s="39"/>
      <c r="O56" s="40"/>
      <c r="P56" s="39"/>
      <c r="Q56" s="39"/>
      <c r="R56" s="39"/>
      <c r="S56" s="39"/>
      <c r="T56" s="40"/>
      <c r="U56" s="39"/>
    </row>
    <row r="57" spans="1:21" x14ac:dyDescent="0.2">
      <c r="A57" s="37"/>
      <c r="B57" s="37"/>
      <c r="C57" s="37"/>
      <c r="D57" s="37"/>
      <c r="E57" s="37"/>
      <c r="F57" s="37"/>
      <c r="G57" s="38"/>
      <c r="H57" s="37"/>
      <c r="I57" s="37"/>
      <c r="J57" s="37"/>
      <c r="K57" s="37"/>
      <c r="L57" s="37"/>
      <c r="M57" s="39"/>
      <c r="N57" s="39"/>
      <c r="O57" s="40"/>
      <c r="P57" s="39"/>
      <c r="Q57" s="39"/>
      <c r="R57" s="39"/>
      <c r="S57" s="39"/>
      <c r="T57" s="40"/>
      <c r="U57" s="39"/>
    </row>
    <row r="58" spans="1:21" x14ac:dyDescent="0.2">
      <c r="A58" s="37"/>
      <c r="B58" s="37"/>
      <c r="C58" s="37"/>
      <c r="D58" s="37"/>
      <c r="E58" s="37"/>
      <c r="F58" s="37"/>
      <c r="G58" s="38"/>
      <c r="H58" s="37"/>
      <c r="I58" s="37"/>
      <c r="J58" s="37"/>
      <c r="K58" s="37"/>
      <c r="L58" s="37"/>
      <c r="M58" s="39"/>
      <c r="N58" s="39"/>
      <c r="O58" s="40"/>
      <c r="P58" s="39"/>
      <c r="Q58" s="39"/>
      <c r="R58" s="39"/>
      <c r="S58" s="39"/>
      <c r="T58" s="40"/>
      <c r="U58" s="39"/>
    </row>
    <row r="59" spans="1:21" x14ac:dyDescent="0.2">
      <c r="A59" s="37"/>
      <c r="B59" s="37"/>
      <c r="C59" s="37"/>
      <c r="D59" s="37"/>
      <c r="E59" s="37"/>
      <c r="F59" s="37"/>
      <c r="G59" s="38"/>
      <c r="H59" s="37"/>
      <c r="I59" s="37"/>
      <c r="J59" s="37"/>
      <c r="K59" s="37"/>
      <c r="L59" s="37"/>
      <c r="M59" s="39"/>
      <c r="N59" s="39"/>
      <c r="O59" s="40"/>
      <c r="P59" s="39"/>
      <c r="Q59" s="39"/>
      <c r="R59" s="39"/>
      <c r="S59" s="39"/>
      <c r="T59" s="40"/>
      <c r="U59" s="39"/>
    </row>
    <row r="60" spans="1:21" x14ac:dyDescent="0.2">
      <c r="A60" s="37"/>
      <c r="B60" s="37"/>
      <c r="C60" s="37"/>
      <c r="D60" s="37"/>
      <c r="E60" s="37"/>
      <c r="F60" s="37"/>
      <c r="G60" s="38"/>
      <c r="H60" s="37"/>
      <c r="I60" s="37"/>
      <c r="J60" s="37"/>
      <c r="K60" s="37"/>
      <c r="L60" s="37"/>
      <c r="M60" s="39"/>
      <c r="N60" s="39"/>
      <c r="O60" s="40"/>
      <c r="P60" s="39"/>
      <c r="Q60" s="39"/>
      <c r="R60" s="39"/>
      <c r="S60" s="39"/>
      <c r="T60" s="40"/>
      <c r="U60" s="39"/>
    </row>
    <row r="61" spans="1:21" x14ac:dyDescent="0.2">
      <c r="A61" s="37"/>
      <c r="B61" s="37"/>
      <c r="C61" s="37"/>
      <c r="D61" s="37"/>
      <c r="E61" s="37"/>
      <c r="F61" s="37"/>
      <c r="G61" s="38"/>
      <c r="H61" s="37"/>
      <c r="I61" s="37"/>
      <c r="J61" s="37"/>
      <c r="K61" s="37"/>
      <c r="L61" s="37"/>
      <c r="M61" s="39"/>
      <c r="N61" s="39"/>
      <c r="O61" s="40"/>
      <c r="P61" s="39"/>
      <c r="Q61" s="39"/>
      <c r="R61" s="39"/>
      <c r="S61" s="39"/>
      <c r="T61" s="40"/>
      <c r="U61" s="39"/>
    </row>
    <row r="62" spans="1:21" x14ac:dyDescent="0.2">
      <c r="A62" s="5"/>
      <c r="B62" s="5"/>
      <c r="C62" s="5"/>
      <c r="D62" s="5"/>
      <c r="E62" s="5"/>
      <c r="F62" s="5"/>
      <c r="G62" s="6"/>
      <c r="H62" s="5"/>
      <c r="I62" s="5"/>
      <c r="J62" s="5"/>
      <c r="K62" s="5"/>
      <c r="L62" s="5"/>
      <c r="M62" s="7"/>
      <c r="N62" s="7"/>
      <c r="O62" s="8"/>
      <c r="P62" s="7"/>
      <c r="Q62" s="7"/>
      <c r="R62" s="7"/>
      <c r="S62" s="7"/>
      <c r="T62" s="8"/>
      <c r="U62" s="7"/>
    </row>
    <row r="63" spans="1:21" x14ac:dyDescent="0.2">
      <c r="A63" s="5"/>
      <c r="B63" s="5"/>
      <c r="C63" s="5"/>
      <c r="D63" s="5"/>
      <c r="E63" s="5"/>
      <c r="F63" s="5"/>
      <c r="G63" s="6"/>
      <c r="H63" s="5"/>
      <c r="I63" s="5"/>
      <c r="J63" s="5"/>
      <c r="K63" s="5"/>
      <c r="L63" s="5"/>
      <c r="M63" s="7"/>
      <c r="N63" s="7"/>
      <c r="O63" s="8"/>
      <c r="P63" s="7"/>
      <c r="Q63" s="7"/>
      <c r="R63" s="7"/>
      <c r="S63" s="7"/>
      <c r="T63" s="8"/>
      <c r="U63" s="7"/>
    </row>
    <row r="64" spans="1:21" x14ac:dyDescent="0.2">
      <c r="A64" s="5"/>
      <c r="B64" s="5"/>
      <c r="C64" s="5"/>
      <c r="D64" s="5"/>
      <c r="E64" s="5"/>
      <c r="F64" s="5"/>
      <c r="G64" s="6"/>
      <c r="H64" s="5"/>
      <c r="I64" s="5"/>
      <c r="J64" s="5"/>
      <c r="K64" s="5"/>
      <c r="L64" s="5"/>
      <c r="M64" s="7"/>
      <c r="N64" s="7"/>
      <c r="O64" s="8"/>
      <c r="P64" s="7"/>
      <c r="Q64" s="7"/>
      <c r="R64" s="7"/>
      <c r="S64" s="7"/>
      <c r="T64" s="8"/>
      <c r="U64" s="7"/>
    </row>
    <row r="65" spans="1:21" x14ac:dyDescent="0.2">
      <c r="A65" s="5"/>
      <c r="B65" s="5"/>
      <c r="C65" s="5"/>
      <c r="D65" s="5"/>
      <c r="E65" s="5"/>
      <c r="F65" s="5"/>
      <c r="G65" s="6"/>
      <c r="H65" s="5"/>
      <c r="I65" s="5"/>
      <c r="J65" s="5"/>
      <c r="K65" s="5"/>
      <c r="L65" s="5"/>
      <c r="M65" s="7"/>
      <c r="N65" s="7"/>
      <c r="O65" s="8"/>
      <c r="P65" s="7"/>
      <c r="Q65" s="7"/>
      <c r="R65" s="7"/>
      <c r="S65" s="7"/>
      <c r="T65" s="8"/>
      <c r="U65" s="7"/>
    </row>
    <row r="66" spans="1:21" x14ac:dyDescent="0.2">
      <c r="A66" s="5"/>
      <c r="B66" s="5"/>
      <c r="C66" s="5"/>
      <c r="D66" s="5"/>
      <c r="E66" s="5"/>
      <c r="F66" s="5"/>
      <c r="G66" s="6"/>
      <c r="H66" s="5"/>
      <c r="I66" s="5"/>
      <c r="J66" s="5"/>
      <c r="K66" s="5"/>
      <c r="L66" s="5"/>
      <c r="M66" s="7"/>
      <c r="N66" s="7"/>
      <c r="O66" s="8"/>
      <c r="P66" s="7"/>
      <c r="Q66" s="7"/>
      <c r="R66" s="7"/>
      <c r="S66" s="7"/>
      <c r="T66" s="8"/>
      <c r="U66" s="7"/>
    </row>
    <row r="67" spans="1:21" x14ac:dyDescent="0.2">
      <c r="A67" s="5"/>
      <c r="B67" s="5"/>
      <c r="C67" s="5"/>
      <c r="D67" s="5"/>
      <c r="E67" s="5"/>
      <c r="F67" s="5"/>
      <c r="G67" s="6"/>
      <c r="H67" s="5"/>
      <c r="I67" s="5"/>
      <c r="J67" s="5"/>
      <c r="K67" s="5"/>
      <c r="L67" s="5"/>
      <c r="M67" s="7"/>
      <c r="N67" s="7"/>
      <c r="O67" s="8"/>
      <c r="P67" s="7"/>
      <c r="Q67" s="7"/>
      <c r="R67" s="7"/>
      <c r="S67" s="7"/>
      <c r="T67" s="8"/>
      <c r="U67" s="7"/>
    </row>
    <row r="68" spans="1:21" x14ac:dyDescent="0.2">
      <c r="A68" s="5"/>
      <c r="B68" s="5"/>
      <c r="C68" s="5"/>
      <c r="D68" s="5"/>
      <c r="E68" s="5"/>
      <c r="F68" s="5"/>
      <c r="G68" s="6"/>
      <c r="H68" s="5"/>
      <c r="I68" s="5"/>
      <c r="J68" s="5"/>
      <c r="K68" s="5"/>
      <c r="L68" s="5"/>
      <c r="M68" s="7"/>
      <c r="N68" s="7"/>
      <c r="O68" s="8"/>
      <c r="P68" s="7"/>
      <c r="Q68" s="7"/>
      <c r="R68" s="7"/>
      <c r="S68" s="7"/>
      <c r="T68" s="8"/>
      <c r="U68" s="7"/>
    </row>
    <row r="69" spans="1:21" x14ac:dyDescent="0.2">
      <c r="A69" s="5"/>
      <c r="B69" s="5"/>
      <c r="C69" s="5"/>
      <c r="D69" s="5"/>
      <c r="E69" s="5"/>
      <c r="F69" s="5"/>
      <c r="G69" s="6"/>
      <c r="H69" s="5"/>
      <c r="I69" s="5"/>
      <c r="J69" s="5"/>
      <c r="K69" s="5"/>
      <c r="L69" s="5"/>
      <c r="M69" s="7"/>
      <c r="N69" s="7"/>
      <c r="O69" s="8"/>
      <c r="P69" s="7"/>
      <c r="Q69" s="7"/>
      <c r="R69" s="7"/>
      <c r="S69" s="7"/>
      <c r="T69" s="8"/>
      <c r="U69" s="7"/>
    </row>
    <row r="70" spans="1:21" x14ac:dyDescent="0.2">
      <c r="A70" s="5"/>
      <c r="B70" s="5"/>
      <c r="C70" s="5"/>
      <c r="D70" s="5"/>
      <c r="E70" s="5"/>
      <c r="F70" s="5"/>
      <c r="G70" s="6"/>
      <c r="H70" s="5"/>
      <c r="I70" s="5"/>
      <c r="J70" s="5"/>
      <c r="K70" s="5"/>
      <c r="L70" s="5"/>
      <c r="M70" s="7"/>
      <c r="N70" s="7"/>
      <c r="O70" s="8"/>
      <c r="P70" s="7"/>
      <c r="Q70" s="7"/>
      <c r="R70" s="7"/>
      <c r="S70" s="7"/>
      <c r="T70" s="8"/>
      <c r="U70" s="7"/>
    </row>
    <row r="71" spans="1:21" x14ac:dyDescent="0.2">
      <c r="A71" s="5"/>
      <c r="B71" s="5"/>
      <c r="C71" s="5"/>
      <c r="D71" s="5"/>
      <c r="E71" s="5"/>
      <c r="F71" s="5"/>
      <c r="G71" s="6"/>
      <c r="H71" s="5"/>
      <c r="I71" s="5"/>
      <c r="J71" s="5"/>
      <c r="K71" s="5"/>
      <c r="L71" s="5"/>
      <c r="M71" s="7"/>
      <c r="N71" s="7"/>
      <c r="O71" s="8"/>
      <c r="P71" s="7"/>
      <c r="Q71" s="7"/>
      <c r="R71" s="7"/>
      <c r="S71" s="7"/>
      <c r="T71" s="8"/>
      <c r="U71" s="7"/>
    </row>
    <row r="72" spans="1:21" x14ac:dyDescent="0.2">
      <c r="A72" s="5"/>
      <c r="B72" s="5"/>
      <c r="C72" s="5"/>
      <c r="D72" s="5"/>
      <c r="E72" s="5"/>
      <c r="F72" s="5"/>
      <c r="G72" s="6"/>
      <c r="H72" s="5"/>
      <c r="I72" s="5"/>
      <c r="J72" s="5"/>
      <c r="K72" s="5"/>
      <c r="L72" s="5"/>
      <c r="M72" s="7"/>
      <c r="N72" s="7"/>
      <c r="O72" s="8"/>
      <c r="P72" s="7"/>
      <c r="Q72" s="7"/>
      <c r="R72" s="7"/>
      <c r="S72" s="7"/>
      <c r="T72" s="8"/>
      <c r="U72" s="7"/>
    </row>
    <row r="73" spans="1:21" x14ac:dyDescent="0.2">
      <c r="A73" s="5"/>
      <c r="B73" s="5"/>
      <c r="C73" s="5"/>
      <c r="D73" s="5"/>
      <c r="E73" s="5"/>
      <c r="F73" s="5"/>
      <c r="G73" s="6"/>
      <c r="H73" s="5"/>
      <c r="I73" s="5"/>
      <c r="J73" s="5"/>
      <c r="K73" s="5"/>
      <c r="L73" s="5"/>
      <c r="M73" s="7"/>
      <c r="N73" s="7"/>
      <c r="O73" s="8"/>
      <c r="P73" s="7"/>
      <c r="Q73" s="7"/>
      <c r="R73" s="7"/>
      <c r="S73" s="7"/>
      <c r="T73" s="8"/>
      <c r="U73" s="7"/>
    </row>
    <row r="74" spans="1:21" x14ac:dyDescent="0.2">
      <c r="A74" s="5"/>
      <c r="B74" s="5"/>
      <c r="C74" s="5"/>
      <c r="D74" s="5"/>
      <c r="E74" s="5"/>
      <c r="F74" s="5"/>
      <c r="G74" s="6"/>
      <c r="H74" s="5"/>
      <c r="I74" s="5"/>
      <c r="J74" s="5"/>
      <c r="K74" s="5"/>
      <c r="L74" s="5"/>
      <c r="M74" s="7"/>
      <c r="N74" s="7"/>
      <c r="O74" s="8"/>
      <c r="P74" s="7"/>
      <c r="Q74" s="7"/>
      <c r="R74" s="7"/>
      <c r="S74" s="7"/>
      <c r="T74" s="8"/>
      <c r="U74" s="7"/>
    </row>
    <row r="75" spans="1:21" x14ac:dyDescent="0.2">
      <c r="A75" s="5"/>
      <c r="B75" s="5"/>
      <c r="C75" s="5"/>
      <c r="D75" s="5"/>
      <c r="E75" s="5"/>
      <c r="F75" s="5"/>
      <c r="G75" s="6"/>
      <c r="H75" s="5"/>
      <c r="I75" s="5"/>
      <c r="J75" s="5"/>
      <c r="K75" s="5"/>
      <c r="L75" s="5"/>
      <c r="M75" s="7"/>
      <c r="N75" s="7"/>
      <c r="O75" s="8"/>
      <c r="P75" s="7"/>
      <c r="Q75" s="7"/>
      <c r="R75" s="7"/>
      <c r="S75" s="7"/>
      <c r="T75" s="8"/>
      <c r="U75" s="7"/>
    </row>
    <row r="76" spans="1:21" x14ac:dyDescent="0.2">
      <c r="A76" s="5"/>
      <c r="B76" s="5"/>
      <c r="C76" s="5"/>
      <c r="D76" s="5"/>
      <c r="E76" s="5"/>
      <c r="F76" s="5"/>
      <c r="G76" s="6"/>
      <c r="H76" s="5"/>
      <c r="I76" s="5"/>
      <c r="J76" s="5"/>
      <c r="K76" s="5"/>
      <c r="L76" s="5"/>
      <c r="M76" s="7"/>
      <c r="N76" s="7"/>
      <c r="O76" s="8"/>
      <c r="P76" s="7"/>
      <c r="Q76" s="7"/>
      <c r="R76" s="7"/>
      <c r="S76" s="7"/>
      <c r="T76" s="8"/>
      <c r="U76" s="7"/>
    </row>
    <row r="77" spans="1:21" x14ac:dyDescent="0.2">
      <c r="A77" s="5"/>
      <c r="B77" s="5"/>
      <c r="C77" s="5"/>
      <c r="D77" s="5"/>
      <c r="E77" s="5"/>
      <c r="F77" s="5"/>
      <c r="G77" s="6"/>
      <c r="H77" s="5"/>
      <c r="I77" s="5"/>
      <c r="J77" s="5"/>
      <c r="K77" s="5"/>
      <c r="L77" s="5"/>
      <c r="M77" s="7"/>
      <c r="N77" s="7"/>
      <c r="O77" s="8"/>
      <c r="P77" s="7"/>
      <c r="Q77" s="7"/>
      <c r="R77" s="7"/>
      <c r="S77" s="7"/>
      <c r="T77" s="8"/>
      <c r="U77" s="7"/>
    </row>
    <row r="78" spans="1:21" x14ac:dyDescent="0.2">
      <c r="A78" s="5"/>
      <c r="B78" s="5"/>
      <c r="C78" s="5"/>
      <c r="D78" s="5"/>
      <c r="E78" s="5"/>
      <c r="F78" s="5"/>
      <c r="G78" s="6"/>
      <c r="H78" s="5"/>
      <c r="I78" s="5"/>
      <c r="J78" s="5"/>
      <c r="K78" s="5"/>
      <c r="L78" s="5"/>
      <c r="M78" s="7"/>
      <c r="N78" s="7"/>
      <c r="O78" s="8"/>
      <c r="P78" s="7"/>
      <c r="Q78" s="7"/>
      <c r="R78" s="7"/>
      <c r="S78" s="7"/>
      <c r="T78" s="8"/>
      <c r="U78" s="7"/>
    </row>
    <row r="79" spans="1:21" x14ac:dyDescent="0.2">
      <c r="A79" s="5"/>
      <c r="B79" s="5"/>
      <c r="C79" s="5"/>
      <c r="D79" s="5"/>
      <c r="E79" s="5"/>
      <c r="F79" s="5"/>
      <c r="G79" s="6"/>
      <c r="H79" s="5"/>
      <c r="I79" s="5"/>
      <c r="J79" s="5"/>
      <c r="K79" s="5"/>
      <c r="L79" s="5"/>
      <c r="M79" s="7"/>
      <c r="N79" s="7"/>
      <c r="O79" s="8"/>
      <c r="P79" s="7"/>
      <c r="Q79" s="7"/>
      <c r="R79" s="7"/>
      <c r="S79" s="7"/>
      <c r="T79" s="8"/>
      <c r="U79" s="7"/>
    </row>
    <row r="80" spans="1:21" x14ac:dyDescent="0.2">
      <c r="A80" s="5"/>
      <c r="B80" s="5"/>
      <c r="C80" s="5"/>
      <c r="D80" s="5"/>
      <c r="E80" s="5"/>
      <c r="F80" s="5"/>
      <c r="G80" s="6"/>
      <c r="H80" s="5"/>
      <c r="I80" s="5"/>
      <c r="J80" s="5"/>
      <c r="K80" s="5"/>
      <c r="L80" s="5"/>
      <c r="M80" s="7"/>
      <c r="N80" s="7"/>
      <c r="O80" s="8"/>
      <c r="P80" s="7"/>
      <c r="Q80" s="7"/>
      <c r="R80" s="7"/>
      <c r="S80" s="7"/>
      <c r="T80" s="8"/>
      <c r="U80" s="7"/>
    </row>
    <row r="81" spans="1:21" x14ac:dyDescent="0.2">
      <c r="A81" s="5"/>
      <c r="B81" s="5"/>
      <c r="C81" s="5"/>
      <c r="D81" s="5"/>
      <c r="E81" s="5"/>
      <c r="F81" s="5"/>
      <c r="G81" s="6"/>
      <c r="H81" s="5"/>
      <c r="I81" s="5"/>
      <c r="J81" s="5"/>
      <c r="K81" s="5"/>
      <c r="L81" s="5"/>
      <c r="M81" s="7"/>
      <c r="N81" s="7"/>
      <c r="O81" s="8"/>
      <c r="P81" s="7"/>
      <c r="Q81" s="7"/>
      <c r="R81" s="7"/>
      <c r="S81" s="7"/>
      <c r="T81" s="8"/>
      <c r="U81" s="7"/>
    </row>
    <row r="82" spans="1:21" x14ac:dyDescent="0.2">
      <c r="A82" s="5"/>
      <c r="B82" s="5"/>
      <c r="C82" s="5"/>
      <c r="D82" s="5"/>
      <c r="E82" s="5"/>
      <c r="F82" s="5"/>
      <c r="G82" s="6"/>
      <c r="H82" s="5"/>
      <c r="I82" s="5"/>
      <c r="J82" s="5"/>
      <c r="K82" s="5"/>
      <c r="L82" s="5"/>
      <c r="M82" s="7"/>
      <c r="N82" s="7"/>
      <c r="O82" s="8"/>
      <c r="P82" s="7"/>
      <c r="Q82" s="7"/>
      <c r="R82" s="7"/>
      <c r="S82" s="7"/>
      <c r="T82" s="8"/>
      <c r="U82" s="7"/>
    </row>
    <row r="83" spans="1:21" x14ac:dyDescent="0.2">
      <c r="A83" s="5"/>
      <c r="B83" s="5"/>
      <c r="C83" s="5"/>
      <c r="D83" s="5"/>
      <c r="E83" s="5"/>
      <c r="F83" s="5"/>
      <c r="G83" s="6"/>
      <c r="H83" s="5"/>
      <c r="I83" s="5"/>
      <c r="J83" s="5"/>
      <c r="K83" s="5"/>
      <c r="L83" s="5"/>
      <c r="M83" s="7"/>
      <c r="N83" s="7"/>
      <c r="O83" s="8"/>
      <c r="P83" s="7"/>
      <c r="Q83" s="7"/>
      <c r="R83" s="7"/>
      <c r="S83" s="7"/>
      <c r="T83" s="8"/>
      <c r="U83" s="7"/>
    </row>
    <row r="84" spans="1:21" x14ac:dyDescent="0.2">
      <c r="A84" s="5"/>
      <c r="B84" s="5"/>
      <c r="C84" s="5"/>
      <c r="D84" s="5"/>
      <c r="E84" s="5"/>
      <c r="F84" s="5"/>
      <c r="G84" s="6"/>
      <c r="H84" s="5"/>
      <c r="I84" s="5"/>
      <c r="J84" s="5"/>
      <c r="K84" s="5"/>
      <c r="L84" s="5"/>
      <c r="M84" s="7"/>
      <c r="N84" s="7"/>
      <c r="O84" s="8"/>
      <c r="P84" s="7"/>
      <c r="Q84" s="7"/>
      <c r="R84" s="7"/>
      <c r="S84" s="7"/>
      <c r="T84" s="8"/>
      <c r="U84" s="7"/>
    </row>
    <row r="85" spans="1:21" x14ac:dyDescent="0.2">
      <c r="A85" s="5"/>
      <c r="B85" s="5"/>
      <c r="C85" s="5"/>
      <c r="D85" s="5"/>
      <c r="E85" s="5"/>
      <c r="F85" s="5"/>
      <c r="G85" s="6"/>
      <c r="H85" s="5"/>
      <c r="I85" s="5"/>
      <c r="J85" s="5"/>
      <c r="K85" s="5"/>
      <c r="L85" s="5"/>
      <c r="M85" s="7"/>
      <c r="N85" s="7"/>
      <c r="O85" s="8"/>
      <c r="P85" s="7"/>
      <c r="Q85" s="7"/>
      <c r="R85" s="7"/>
      <c r="S85" s="7"/>
      <c r="T85" s="8"/>
      <c r="U85" s="7"/>
    </row>
    <row r="86" spans="1:21" x14ac:dyDescent="0.2">
      <c r="A86" s="5"/>
      <c r="B86" s="5"/>
      <c r="C86" s="5"/>
      <c r="D86" s="5"/>
      <c r="E86" s="5"/>
      <c r="F86" s="5"/>
      <c r="G86" s="6"/>
      <c r="H86" s="5"/>
      <c r="I86" s="5"/>
      <c r="J86" s="5"/>
      <c r="K86" s="5"/>
      <c r="L86" s="5"/>
      <c r="M86" s="7"/>
      <c r="N86" s="7"/>
      <c r="O86" s="8"/>
      <c r="P86" s="7"/>
      <c r="Q86" s="7"/>
      <c r="R86" s="7"/>
      <c r="S86" s="7"/>
      <c r="T86" s="8"/>
      <c r="U86" s="7"/>
    </row>
    <row r="87" spans="1:21" x14ac:dyDescent="0.2">
      <c r="A87" s="5"/>
      <c r="B87" s="5"/>
      <c r="C87" s="5"/>
      <c r="D87" s="5"/>
      <c r="E87" s="5"/>
      <c r="F87" s="5"/>
      <c r="G87" s="6"/>
      <c r="H87" s="5"/>
      <c r="I87" s="5"/>
      <c r="J87" s="5"/>
      <c r="K87" s="5"/>
      <c r="L87" s="5"/>
      <c r="M87" s="7"/>
      <c r="N87" s="7"/>
      <c r="O87" s="8"/>
      <c r="P87" s="7"/>
      <c r="Q87" s="7"/>
      <c r="R87" s="7"/>
      <c r="S87" s="7"/>
      <c r="T87" s="8"/>
      <c r="U87" s="7"/>
    </row>
    <row r="88" spans="1:21" x14ac:dyDescent="0.2">
      <c r="A88" s="5"/>
      <c r="B88" s="5"/>
      <c r="C88" s="5"/>
      <c r="D88" s="5"/>
      <c r="E88" s="5"/>
      <c r="F88" s="5"/>
      <c r="G88" s="6"/>
      <c r="H88" s="5"/>
      <c r="I88" s="5"/>
      <c r="J88" s="5"/>
      <c r="K88" s="5"/>
      <c r="L88" s="5"/>
      <c r="M88" s="7"/>
      <c r="N88" s="7"/>
      <c r="O88" s="8"/>
      <c r="P88" s="7"/>
      <c r="Q88" s="7"/>
      <c r="R88" s="7"/>
      <c r="S88" s="7"/>
      <c r="T88" s="8"/>
      <c r="U88" s="7"/>
    </row>
    <row r="89" spans="1:21" x14ac:dyDescent="0.2">
      <c r="A89" s="5"/>
      <c r="B89" s="5"/>
      <c r="C89" s="5"/>
      <c r="D89" s="5"/>
      <c r="E89" s="5"/>
      <c r="F89" s="5"/>
      <c r="G89" s="6"/>
      <c r="H89" s="5"/>
      <c r="I89" s="5"/>
      <c r="J89" s="5"/>
      <c r="K89" s="5"/>
      <c r="L89" s="5"/>
      <c r="M89" s="7"/>
      <c r="N89" s="7"/>
      <c r="O89" s="8"/>
      <c r="P89" s="7"/>
      <c r="Q89" s="7"/>
      <c r="R89" s="7"/>
      <c r="S89" s="7"/>
      <c r="T89" s="8"/>
      <c r="U89" s="7"/>
    </row>
    <row r="90" spans="1:21" x14ac:dyDescent="0.2">
      <c r="A90" s="5"/>
      <c r="B90" s="5"/>
      <c r="C90" s="5"/>
      <c r="D90" s="5"/>
      <c r="E90" s="5"/>
      <c r="F90" s="5"/>
      <c r="G90" s="6"/>
      <c r="H90" s="5"/>
      <c r="I90" s="5"/>
      <c r="J90" s="5"/>
      <c r="K90" s="5"/>
      <c r="L90" s="5"/>
      <c r="M90" s="7"/>
      <c r="N90" s="7"/>
      <c r="O90" s="8"/>
      <c r="P90" s="7"/>
      <c r="Q90" s="7"/>
      <c r="R90" s="7"/>
      <c r="S90" s="7"/>
      <c r="T90" s="8"/>
      <c r="U90" s="7"/>
    </row>
    <row r="91" spans="1:21" x14ac:dyDescent="0.2">
      <c r="A91" s="5"/>
      <c r="B91" s="5"/>
      <c r="C91" s="5"/>
      <c r="D91" s="5"/>
      <c r="E91" s="5"/>
      <c r="F91" s="5"/>
      <c r="G91" s="6"/>
      <c r="H91" s="5"/>
      <c r="I91" s="5"/>
      <c r="J91" s="5"/>
      <c r="K91" s="5"/>
      <c r="L91" s="5"/>
      <c r="M91" s="7"/>
      <c r="N91" s="7"/>
      <c r="O91" s="8"/>
      <c r="P91" s="7"/>
      <c r="Q91" s="7"/>
      <c r="R91" s="7"/>
      <c r="S91" s="7"/>
      <c r="T91" s="8"/>
      <c r="U91" s="7"/>
    </row>
    <row r="92" spans="1:21" x14ac:dyDescent="0.2">
      <c r="A92" s="5"/>
      <c r="B92" s="5"/>
      <c r="C92" s="5"/>
      <c r="D92" s="5"/>
      <c r="E92" s="5"/>
      <c r="F92" s="5"/>
      <c r="G92" s="6"/>
      <c r="H92" s="5"/>
      <c r="I92" s="5"/>
      <c r="J92" s="5"/>
      <c r="K92" s="5"/>
      <c r="L92" s="5"/>
      <c r="M92" s="7"/>
      <c r="N92" s="7"/>
      <c r="O92" s="8"/>
      <c r="P92" s="7"/>
      <c r="Q92" s="7"/>
      <c r="R92" s="7"/>
      <c r="S92" s="7"/>
      <c r="T92" s="8"/>
      <c r="U92" s="7"/>
    </row>
    <row r="93" spans="1:21" x14ac:dyDescent="0.2">
      <c r="A93" s="5"/>
      <c r="B93" s="5"/>
      <c r="C93" s="5"/>
      <c r="D93" s="5"/>
      <c r="E93" s="5"/>
      <c r="F93" s="5"/>
      <c r="G93" s="6"/>
      <c r="H93" s="5"/>
      <c r="I93" s="5"/>
      <c r="J93" s="5"/>
      <c r="K93" s="5"/>
      <c r="L93" s="5"/>
      <c r="M93" s="7"/>
      <c r="N93" s="7"/>
      <c r="O93" s="8"/>
      <c r="P93" s="7"/>
      <c r="Q93" s="7"/>
      <c r="R93" s="7"/>
      <c r="S93" s="7"/>
      <c r="T93" s="5"/>
      <c r="U93" s="5"/>
    </row>
    <row r="94" spans="1:21" x14ac:dyDescent="0.2">
      <c r="A94" s="5"/>
      <c r="B94" s="5"/>
      <c r="C94" s="5"/>
      <c r="D94" s="5"/>
      <c r="E94" s="5"/>
      <c r="F94" s="5"/>
      <c r="G94" s="6"/>
      <c r="H94" s="5"/>
      <c r="I94" s="5"/>
      <c r="J94" s="5"/>
      <c r="K94" s="5"/>
      <c r="L94" s="5"/>
      <c r="M94" s="7"/>
      <c r="N94" s="7"/>
      <c r="O94" s="8"/>
      <c r="P94" s="7"/>
      <c r="Q94" s="7"/>
      <c r="R94" s="7"/>
      <c r="S94" s="7"/>
      <c r="T94" s="5"/>
      <c r="U94" s="5"/>
    </row>
    <row r="95" spans="1:21" x14ac:dyDescent="0.2">
      <c r="A95" s="5"/>
      <c r="B95" s="5"/>
      <c r="C95" s="5"/>
      <c r="D95" s="5"/>
      <c r="E95" s="5"/>
      <c r="F95" s="5"/>
      <c r="G95" s="6"/>
      <c r="H95" s="5"/>
      <c r="I95" s="5"/>
      <c r="J95" s="5"/>
      <c r="K95" s="5"/>
      <c r="L95" s="5"/>
      <c r="M95" s="7"/>
      <c r="N95" s="7"/>
      <c r="O95" s="8"/>
      <c r="P95" s="7"/>
      <c r="Q95" s="7"/>
      <c r="R95" s="7"/>
      <c r="S95" s="7"/>
      <c r="T95" s="5"/>
      <c r="U95" s="5"/>
    </row>
    <row r="96" spans="1:21" x14ac:dyDescent="0.2">
      <c r="A96" s="5"/>
      <c r="B96" s="5"/>
      <c r="C96" s="5"/>
      <c r="D96" s="5"/>
      <c r="E96" s="5"/>
      <c r="F96" s="5"/>
      <c r="G96" s="6"/>
      <c r="H96" s="5"/>
      <c r="I96" s="5"/>
      <c r="J96" s="5"/>
      <c r="K96" s="5"/>
      <c r="L96" s="5"/>
      <c r="M96" s="7"/>
      <c r="N96" s="7"/>
      <c r="O96" s="8"/>
      <c r="P96" s="7"/>
      <c r="Q96" s="7"/>
      <c r="R96" s="7"/>
      <c r="S96" s="7"/>
      <c r="T96" s="5"/>
      <c r="U96" s="5"/>
    </row>
    <row r="97" spans="1:21" x14ac:dyDescent="0.2">
      <c r="A97" s="5"/>
      <c r="B97" s="5"/>
      <c r="C97" s="5"/>
      <c r="D97" s="5"/>
      <c r="E97" s="5"/>
      <c r="F97" s="5"/>
      <c r="G97" s="6"/>
      <c r="H97" s="5"/>
      <c r="I97" s="5"/>
      <c r="J97" s="5"/>
      <c r="K97" s="5"/>
      <c r="L97" s="5"/>
      <c r="M97" s="7"/>
      <c r="N97" s="7"/>
      <c r="O97" s="8"/>
      <c r="P97" s="7"/>
      <c r="Q97" s="7"/>
      <c r="R97" s="7"/>
      <c r="S97" s="7"/>
      <c r="T97" s="5"/>
      <c r="U97" s="5"/>
    </row>
    <row r="98" spans="1:21" x14ac:dyDescent="0.2">
      <c r="A98" s="5"/>
      <c r="B98" s="5"/>
      <c r="C98" s="5"/>
      <c r="D98" s="5"/>
      <c r="E98" s="5"/>
      <c r="F98" s="5"/>
      <c r="G98" s="6"/>
      <c r="H98" s="5"/>
      <c r="I98" s="5"/>
      <c r="J98" s="5"/>
      <c r="K98" s="5"/>
      <c r="L98" s="5"/>
      <c r="M98" s="7"/>
      <c r="N98" s="7"/>
      <c r="O98" s="8"/>
      <c r="P98" s="7"/>
      <c r="Q98" s="7"/>
      <c r="R98" s="7"/>
      <c r="S98" s="7"/>
      <c r="T98" s="5"/>
      <c r="U98" s="5"/>
    </row>
    <row r="99" spans="1:21" x14ac:dyDescent="0.2">
      <c r="A99" s="5"/>
      <c r="B99" s="5"/>
      <c r="C99" s="5"/>
      <c r="D99" s="5"/>
      <c r="E99" s="5"/>
      <c r="F99" s="5"/>
      <c r="G99" s="6"/>
      <c r="H99" s="5"/>
      <c r="I99" s="5"/>
      <c r="J99" s="5"/>
      <c r="K99" s="5"/>
      <c r="L99" s="5"/>
      <c r="M99" s="7"/>
      <c r="N99" s="7"/>
      <c r="O99" s="8"/>
      <c r="P99" s="7"/>
      <c r="Q99" s="7"/>
      <c r="R99" s="7"/>
      <c r="S99" s="7"/>
      <c r="T99" s="5"/>
      <c r="U99" s="5"/>
    </row>
    <row r="100" spans="1:21" x14ac:dyDescent="0.2">
      <c r="A100" s="5"/>
      <c r="B100" s="5"/>
      <c r="C100" s="5"/>
      <c r="D100" s="5"/>
      <c r="E100" s="5"/>
      <c r="F100" s="5"/>
      <c r="G100" s="6"/>
      <c r="H100" s="5"/>
      <c r="I100" s="5"/>
      <c r="J100" s="5"/>
      <c r="K100" s="5"/>
      <c r="L100" s="5"/>
      <c r="M100" s="7"/>
      <c r="N100" s="7"/>
      <c r="O100" s="8"/>
      <c r="P100" s="7"/>
      <c r="Q100" s="7"/>
      <c r="R100" s="7"/>
      <c r="S100" s="7"/>
      <c r="T100" s="5"/>
      <c r="U100" s="5"/>
    </row>
    <row r="101" spans="1:21" x14ac:dyDescent="0.2">
      <c r="A101" s="5"/>
      <c r="B101" s="5"/>
      <c r="C101" s="5"/>
      <c r="D101" s="5"/>
      <c r="E101" s="5"/>
      <c r="F101" s="5"/>
      <c r="G101" s="6"/>
      <c r="H101" s="5"/>
      <c r="I101" s="5"/>
      <c r="J101" s="5"/>
      <c r="K101" s="5"/>
      <c r="L101" s="5"/>
      <c r="M101" s="7"/>
      <c r="N101" s="7"/>
      <c r="O101" s="8"/>
      <c r="P101" s="7"/>
      <c r="Q101" s="7"/>
      <c r="R101" s="7"/>
      <c r="S101" s="7"/>
      <c r="T101" s="5"/>
      <c r="U101" s="5"/>
    </row>
    <row r="102" spans="1:21" x14ac:dyDescent="0.2">
      <c r="A102" s="5"/>
      <c r="B102" s="5"/>
      <c r="C102" s="5"/>
      <c r="D102" s="5"/>
      <c r="E102" s="5"/>
      <c r="F102" s="5"/>
      <c r="G102" s="6"/>
      <c r="H102" s="5"/>
      <c r="I102" s="5"/>
      <c r="J102" s="5"/>
      <c r="K102" s="5"/>
      <c r="L102" s="5"/>
      <c r="M102" s="7"/>
      <c r="N102" s="7"/>
      <c r="O102" s="8"/>
      <c r="P102" s="7"/>
      <c r="Q102" s="7"/>
      <c r="R102" s="7"/>
      <c r="S102" s="7"/>
      <c r="T102" s="5"/>
      <c r="U102" s="5"/>
    </row>
    <row r="103" spans="1:21" x14ac:dyDescent="0.2">
      <c r="A103" s="5"/>
      <c r="B103" s="5"/>
      <c r="C103" s="5"/>
      <c r="D103" s="5"/>
      <c r="E103" s="5"/>
      <c r="F103" s="5"/>
      <c r="G103" s="6"/>
      <c r="H103" s="5"/>
      <c r="I103" s="5"/>
      <c r="J103" s="5"/>
      <c r="K103" s="5"/>
      <c r="L103" s="5"/>
      <c r="M103" s="7"/>
      <c r="N103" s="7"/>
      <c r="O103" s="8"/>
      <c r="P103" s="7"/>
      <c r="Q103" s="7"/>
      <c r="R103" s="7"/>
      <c r="S103" s="7"/>
      <c r="T103" s="5"/>
      <c r="U103" s="5"/>
    </row>
    <row r="104" spans="1:21" x14ac:dyDescent="0.2">
      <c r="A104" s="5"/>
      <c r="B104" s="5"/>
      <c r="C104" s="5"/>
      <c r="D104" s="5"/>
      <c r="E104" s="5"/>
      <c r="F104" s="5"/>
      <c r="G104" s="6"/>
      <c r="H104" s="5"/>
      <c r="I104" s="5"/>
      <c r="J104" s="5"/>
      <c r="K104" s="5"/>
      <c r="L104" s="5"/>
      <c r="M104" s="7"/>
      <c r="N104" s="7"/>
      <c r="O104" s="8"/>
      <c r="P104" s="7"/>
      <c r="Q104" s="7"/>
      <c r="R104" s="7"/>
      <c r="S104" s="7"/>
      <c r="T104" s="5"/>
      <c r="U104" s="5"/>
    </row>
    <row r="105" spans="1:21" x14ac:dyDescent="0.2">
      <c r="A105" s="5"/>
      <c r="B105" s="5"/>
      <c r="C105" s="5"/>
      <c r="D105" s="5"/>
      <c r="E105" s="5"/>
      <c r="F105" s="5"/>
      <c r="G105" s="6"/>
      <c r="H105" s="5"/>
      <c r="I105" s="5"/>
      <c r="J105" s="5"/>
      <c r="K105" s="5"/>
      <c r="L105" s="5"/>
      <c r="M105" s="7"/>
      <c r="N105" s="7"/>
      <c r="O105" s="8"/>
      <c r="P105" s="7"/>
      <c r="Q105" s="7"/>
      <c r="R105" s="7"/>
      <c r="S105" s="7"/>
      <c r="T105" s="5"/>
      <c r="U105" s="5"/>
    </row>
    <row r="106" spans="1:21" x14ac:dyDescent="0.2">
      <c r="A106" s="5"/>
      <c r="B106" s="5"/>
      <c r="C106" s="5"/>
      <c r="D106" s="5"/>
      <c r="E106" s="5"/>
      <c r="F106" s="5"/>
      <c r="G106" s="6"/>
      <c r="H106" s="5"/>
      <c r="I106" s="5"/>
      <c r="J106" s="5"/>
      <c r="K106" s="5"/>
      <c r="L106" s="5"/>
      <c r="M106" s="7"/>
      <c r="N106" s="7"/>
      <c r="O106" s="8"/>
      <c r="P106" s="7"/>
      <c r="Q106" s="7"/>
      <c r="R106" s="7"/>
      <c r="S106" s="7"/>
      <c r="T106" s="5"/>
      <c r="U106" s="5"/>
    </row>
    <row r="107" spans="1:21" x14ac:dyDescent="0.2">
      <c r="A107" s="5"/>
      <c r="B107" s="5"/>
      <c r="C107" s="5"/>
      <c r="D107" s="5"/>
      <c r="E107" s="5"/>
      <c r="F107" s="5"/>
      <c r="G107" s="6"/>
      <c r="H107" s="5"/>
      <c r="I107" s="5"/>
      <c r="J107" s="5"/>
      <c r="K107" s="5"/>
      <c r="L107" s="5"/>
      <c r="M107" s="7"/>
      <c r="N107" s="7"/>
      <c r="O107" s="8"/>
      <c r="P107" s="7"/>
      <c r="Q107" s="7"/>
      <c r="R107" s="7"/>
      <c r="S107" s="7"/>
      <c r="T107" s="5"/>
      <c r="U107" s="5"/>
    </row>
    <row r="108" spans="1:21" x14ac:dyDescent="0.2">
      <c r="A108" s="5"/>
      <c r="B108" s="5"/>
      <c r="C108" s="5"/>
      <c r="D108" s="5"/>
      <c r="E108" s="5"/>
      <c r="F108" s="5"/>
      <c r="G108" s="6"/>
      <c r="H108" s="5"/>
      <c r="I108" s="5"/>
      <c r="J108" s="5"/>
      <c r="K108" s="5"/>
      <c r="L108" s="5"/>
      <c r="M108" s="7"/>
      <c r="N108" s="7"/>
      <c r="O108" s="8"/>
      <c r="P108" s="7"/>
      <c r="Q108" s="7"/>
      <c r="R108" s="7"/>
      <c r="S108" s="7"/>
      <c r="T108" s="5"/>
      <c r="U108" s="5"/>
    </row>
    <row r="109" spans="1:21" x14ac:dyDescent="0.2">
      <c r="A109" s="5"/>
      <c r="B109" s="5"/>
      <c r="C109" s="5"/>
      <c r="D109" s="5"/>
      <c r="E109" s="5"/>
      <c r="F109" s="5"/>
      <c r="G109" s="6"/>
      <c r="H109" s="5"/>
      <c r="I109" s="5"/>
      <c r="J109" s="5"/>
      <c r="K109" s="5"/>
      <c r="L109" s="5"/>
      <c r="M109" s="7"/>
      <c r="N109" s="7"/>
      <c r="O109" s="8"/>
      <c r="P109" s="7"/>
      <c r="Q109" s="7"/>
      <c r="R109" s="7"/>
      <c r="S109" s="7"/>
      <c r="T109" s="5"/>
      <c r="U109" s="5"/>
    </row>
    <row r="110" spans="1:21" x14ac:dyDescent="0.2">
      <c r="A110" s="5"/>
      <c r="B110" s="5"/>
      <c r="C110" s="5"/>
      <c r="D110" s="5"/>
      <c r="E110" s="5"/>
      <c r="F110" s="5"/>
      <c r="G110" s="6"/>
      <c r="H110" s="5"/>
      <c r="I110" s="5"/>
      <c r="J110" s="5"/>
      <c r="K110" s="5"/>
      <c r="L110" s="5"/>
      <c r="M110" s="7"/>
      <c r="N110" s="7"/>
      <c r="O110" s="8"/>
      <c r="P110" s="7"/>
      <c r="Q110" s="7"/>
      <c r="R110" s="7"/>
      <c r="S110" s="7"/>
      <c r="T110" s="5"/>
      <c r="U110" s="5"/>
    </row>
    <row r="111" spans="1:21" x14ac:dyDescent="0.2">
      <c r="A111" s="5"/>
      <c r="B111" s="5"/>
      <c r="C111" s="5"/>
      <c r="D111" s="5"/>
      <c r="E111" s="5"/>
      <c r="F111" s="5"/>
      <c r="G111" s="6"/>
      <c r="H111" s="5"/>
      <c r="I111" s="5"/>
      <c r="J111" s="5"/>
      <c r="K111" s="5"/>
      <c r="L111" s="5"/>
      <c r="M111" s="7"/>
      <c r="N111" s="7"/>
      <c r="O111" s="8"/>
      <c r="P111" s="7"/>
      <c r="Q111" s="7"/>
      <c r="R111" s="7"/>
      <c r="S111" s="7"/>
      <c r="T111" s="5"/>
      <c r="U111" s="5"/>
    </row>
    <row r="112" spans="1:21" x14ac:dyDescent="0.2">
      <c r="A112" s="5"/>
      <c r="B112" s="5"/>
      <c r="C112" s="5"/>
      <c r="D112" s="5"/>
      <c r="E112" s="5"/>
      <c r="F112" s="5"/>
      <c r="G112" s="6"/>
      <c r="H112" s="5"/>
      <c r="I112" s="5"/>
      <c r="J112" s="5"/>
      <c r="K112" s="5"/>
      <c r="L112" s="5"/>
      <c r="M112" s="7"/>
      <c r="N112" s="7"/>
      <c r="O112" s="8"/>
      <c r="P112" s="7"/>
      <c r="Q112" s="7"/>
      <c r="R112" s="7"/>
      <c r="S112" s="7"/>
      <c r="T112" s="5"/>
      <c r="U112" s="5"/>
    </row>
    <row r="113" spans="1:21" x14ac:dyDescent="0.2">
      <c r="A113" s="5"/>
      <c r="B113" s="5"/>
      <c r="C113" s="5"/>
      <c r="D113" s="5"/>
      <c r="E113" s="5"/>
      <c r="F113" s="5"/>
      <c r="G113" s="6"/>
      <c r="H113" s="5"/>
      <c r="I113" s="5"/>
      <c r="J113" s="5"/>
      <c r="K113" s="5"/>
      <c r="L113" s="5"/>
      <c r="M113" s="7"/>
      <c r="N113" s="7"/>
      <c r="O113" s="8"/>
      <c r="P113" s="7"/>
      <c r="Q113" s="7"/>
      <c r="R113" s="7"/>
      <c r="S113" s="7"/>
      <c r="T113" s="5"/>
      <c r="U113" s="5"/>
    </row>
    <row r="114" spans="1:21" x14ac:dyDescent="0.2">
      <c r="A114" s="5"/>
      <c r="B114" s="5"/>
      <c r="C114" s="5"/>
      <c r="D114" s="5"/>
      <c r="E114" s="5"/>
      <c r="F114" s="5"/>
      <c r="G114" s="6"/>
      <c r="H114" s="5"/>
      <c r="I114" s="5"/>
      <c r="J114" s="5"/>
      <c r="K114" s="5"/>
      <c r="L114" s="5"/>
      <c r="M114" s="7"/>
      <c r="N114" s="7"/>
      <c r="O114" s="8"/>
      <c r="P114" s="7"/>
      <c r="Q114" s="7"/>
      <c r="R114" s="7"/>
      <c r="S114" s="7"/>
      <c r="T114" s="5"/>
      <c r="U114" s="5"/>
    </row>
    <row r="115" spans="1:21" x14ac:dyDescent="0.2">
      <c r="A115" s="5"/>
      <c r="B115" s="5"/>
      <c r="C115" s="5"/>
      <c r="D115" s="5"/>
      <c r="E115" s="5"/>
      <c r="F115" s="5"/>
      <c r="G115" s="6"/>
      <c r="H115" s="5"/>
      <c r="I115" s="5"/>
      <c r="J115" s="5"/>
      <c r="K115" s="5"/>
      <c r="L115" s="5"/>
      <c r="M115" s="7"/>
      <c r="N115" s="7"/>
      <c r="O115" s="8"/>
      <c r="P115" s="7"/>
      <c r="Q115" s="7"/>
      <c r="R115" s="7"/>
      <c r="S115" s="7"/>
      <c r="T115" s="5"/>
      <c r="U115" s="5"/>
    </row>
    <row r="116" spans="1:21" x14ac:dyDescent="0.2">
      <c r="A116" s="5"/>
      <c r="B116" s="5"/>
      <c r="C116" s="5"/>
      <c r="D116" s="5"/>
      <c r="E116" s="5"/>
      <c r="F116" s="5"/>
      <c r="G116" s="6"/>
      <c r="H116" s="5"/>
      <c r="I116" s="5"/>
      <c r="J116" s="5"/>
      <c r="K116" s="5"/>
      <c r="L116" s="5"/>
      <c r="M116" s="7"/>
      <c r="N116" s="7"/>
      <c r="O116" s="8"/>
      <c r="P116" s="7"/>
      <c r="Q116" s="7"/>
      <c r="R116" s="7"/>
      <c r="S116" s="7"/>
      <c r="T116" s="5"/>
      <c r="U116" s="5"/>
    </row>
    <row r="117" spans="1:21" x14ac:dyDescent="0.2">
      <c r="A117" s="5"/>
      <c r="B117" s="5"/>
      <c r="C117" s="5"/>
      <c r="D117" s="5"/>
      <c r="E117" s="5"/>
      <c r="F117" s="5"/>
      <c r="G117" s="6"/>
      <c r="H117" s="5"/>
      <c r="I117" s="5"/>
      <c r="J117" s="5"/>
      <c r="K117" s="5"/>
      <c r="L117" s="5"/>
      <c r="M117" s="7"/>
      <c r="N117" s="7"/>
      <c r="O117" s="8"/>
      <c r="P117" s="7"/>
      <c r="Q117" s="7"/>
      <c r="R117" s="7"/>
      <c r="S117" s="7"/>
      <c r="T117" s="5"/>
      <c r="U117" s="5"/>
    </row>
    <row r="118" spans="1:21" x14ac:dyDescent="0.2">
      <c r="A118" s="5"/>
      <c r="B118" s="5"/>
      <c r="C118" s="5"/>
      <c r="D118" s="5"/>
      <c r="E118" s="5"/>
      <c r="F118" s="5"/>
      <c r="G118" s="6"/>
      <c r="H118" s="5"/>
      <c r="I118" s="5"/>
      <c r="J118" s="5"/>
      <c r="K118" s="5"/>
      <c r="L118" s="5"/>
      <c r="M118" s="7"/>
      <c r="N118" s="7"/>
      <c r="O118" s="8"/>
      <c r="P118" s="7"/>
      <c r="Q118" s="7"/>
      <c r="R118" s="7"/>
      <c r="S118" s="7"/>
      <c r="T118" s="5"/>
      <c r="U118" s="5"/>
    </row>
    <row r="119" spans="1:21" x14ac:dyDescent="0.2">
      <c r="A119" s="5"/>
      <c r="B119" s="5"/>
      <c r="C119" s="5"/>
      <c r="D119" s="5"/>
      <c r="E119" s="5"/>
      <c r="F119" s="5"/>
      <c r="G119" s="6"/>
      <c r="H119" s="5"/>
      <c r="I119" s="5"/>
      <c r="J119" s="5"/>
      <c r="K119" s="5"/>
      <c r="L119" s="5"/>
      <c r="M119" s="7"/>
      <c r="N119" s="7"/>
      <c r="O119" s="8"/>
      <c r="P119" s="7"/>
      <c r="Q119" s="7"/>
      <c r="R119" s="7"/>
      <c r="S119" s="7"/>
      <c r="T119" s="5"/>
      <c r="U119" s="5"/>
    </row>
    <row r="120" spans="1:21" x14ac:dyDescent="0.2">
      <c r="A120" s="5"/>
      <c r="B120" s="5"/>
      <c r="C120" s="5"/>
      <c r="D120" s="5"/>
      <c r="E120" s="5"/>
      <c r="F120" s="5"/>
      <c r="G120" s="6"/>
      <c r="H120" s="5"/>
      <c r="I120" s="5"/>
      <c r="J120" s="5"/>
      <c r="K120" s="5"/>
      <c r="L120" s="5"/>
      <c r="M120" s="7"/>
      <c r="N120" s="7"/>
      <c r="O120" s="8"/>
      <c r="P120" s="7"/>
      <c r="Q120" s="7"/>
      <c r="R120" s="7"/>
      <c r="S120" s="7"/>
      <c r="T120" s="5"/>
      <c r="U120" s="5"/>
    </row>
  </sheetData>
  <pageMargins left="0.15748031496062992" right="0.11811023622047245" top="0.19685039370078741" bottom="0.11811023622047245" header="0.31496062992125984" footer="0.15748031496062992"/>
  <pageSetup paperSize="9" scale="5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82"/>
  <sheetViews>
    <sheetView topLeftCell="A2" zoomScale="145" zoomScaleNormal="145" workbookViewId="0">
      <selection activeCell="E2" sqref="E2"/>
    </sheetView>
  </sheetViews>
  <sheetFormatPr defaultRowHeight="12.75" x14ac:dyDescent="0.2"/>
  <cols>
    <col min="2" max="2" width="7.42578125" customWidth="1"/>
    <col min="3" max="3" width="8" customWidth="1"/>
    <col min="4" max="4" width="7" customWidth="1"/>
    <col min="5" max="5" width="7.42578125" customWidth="1"/>
    <col min="6" max="6" width="8.5703125" customWidth="1"/>
    <col min="7" max="8" width="7.42578125" customWidth="1"/>
    <col min="9" max="9" width="7.5703125" customWidth="1"/>
    <col min="10" max="10" width="12.5703125" customWidth="1"/>
    <col min="11" max="11" width="6.42578125" customWidth="1"/>
    <col min="12" max="12" width="7.85546875" customWidth="1"/>
    <col min="13" max="13" width="8.42578125" customWidth="1"/>
    <col min="14" max="15" width="9.5703125" customWidth="1"/>
    <col min="16" max="16" width="8.85546875" customWidth="1"/>
    <col min="17" max="17" width="7.5703125" customWidth="1"/>
    <col min="18" max="18" width="8.5703125" customWidth="1"/>
    <col min="19" max="19" width="10.5703125" customWidth="1"/>
    <col min="20" max="21" width="14" customWidth="1"/>
  </cols>
  <sheetData>
    <row r="1" spans="1:26" ht="15" x14ac:dyDescent="0.25">
      <c r="A1" s="31" t="s">
        <v>19</v>
      </c>
      <c r="B1" s="5"/>
      <c r="C1" s="5"/>
      <c r="D1" s="5"/>
      <c r="E1" s="5"/>
      <c r="F1" s="6"/>
      <c r="G1" s="5"/>
      <c r="H1" s="5"/>
      <c r="I1" s="5"/>
      <c r="J1" s="5"/>
      <c r="K1" s="5"/>
      <c r="L1" s="5"/>
      <c r="M1" s="7"/>
      <c r="N1" s="7"/>
      <c r="O1" s="8"/>
      <c r="P1" s="7"/>
      <c r="Q1" s="7"/>
      <c r="R1" s="5"/>
      <c r="S1" s="5"/>
      <c r="T1" s="36"/>
      <c r="U1" s="36"/>
      <c r="V1" s="30"/>
      <c r="W1" s="30"/>
      <c r="X1" s="30"/>
      <c r="Y1" s="30"/>
      <c r="Z1" s="30"/>
    </row>
    <row r="2" spans="1:26" x14ac:dyDescent="0.2">
      <c r="A2" s="5"/>
      <c r="B2" s="5"/>
      <c r="C2" s="5"/>
      <c r="D2" s="5"/>
      <c r="E2" s="5"/>
      <c r="F2" s="6"/>
      <c r="G2" s="5"/>
      <c r="H2" s="5"/>
      <c r="I2" s="5"/>
      <c r="J2" s="5"/>
      <c r="K2" s="5"/>
      <c r="L2" s="5"/>
      <c r="M2" s="7"/>
      <c r="N2" s="7"/>
      <c r="O2" s="8"/>
      <c r="P2" s="7"/>
      <c r="Q2" s="7"/>
      <c r="R2" s="5"/>
      <c r="S2" s="5"/>
      <c r="T2" s="36"/>
      <c r="U2" s="36"/>
      <c r="V2" s="30"/>
      <c r="W2" s="30"/>
      <c r="X2" s="30"/>
      <c r="Y2" s="30"/>
      <c r="Z2" s="30"/>
    </row>
    <row r="3" spans="1:26" ht="13.5" thickBot="1" x14ac:dyDescent="0.25">
      <c r="A3" s="5" t="s">
        <v>0</v>
      </c>
      <c r="B3" s="5"/>
      <c r="C3" s="5"/>
      <c r="D3" s="5"/>
      <c r="E3" s="5"/>
      <c r="F3" s="6"/>
      <c r="G3" s="5"/>
      <c r="H3" s="5"/>
      <c r="I3" s="5"/>
      <c r="J3" s="5"/>
      <c r="K3" s="5"/>
      <c r="L3" s="5"/>
      <c r="M3" s="7"/>
      <c r="N3" s="7"/>
      <c r="O3" s="8"/>
      <c r="P3" s="7"/>
      <c r="Q3" s="7"/>
      <c r="R3" s="5"/>
      <c r="S3" s="5"/>
      <c r="T3" s="36"/>
      <c r="U3" s="36"/>
      <c r="V3" s="30"/>
      <c r="W3" s="30"/>
      <c r="X3" s="30"/>
      <c r="Y3" s="30"/>
      <c r="Z3" s="30"/>
    </row>
    <row r="4" spans="1:26" ht="36" x14ac:dyDescent="0.2">
      <c r="A4" s="9" t="s">
        <v>1</v>
      </c>
      <c r="B4" s="10" t="s">
        <v>28</v>
      </c>
      <c r="C4" s="10" t="s">
        <v>29</v>
      </c>
      <c r="D4" s="10" t="s">
        <v>30</v>
      </c>
      <c r="E4" s="10" t="s">
        <v>2</v>
      </c>
      <c r="F4" s="11" t="s">
        <v>31</v>
      </c>
      <c r="G4" s="10" t="s">
        <v>32</v>
      </c>
      <c r="H4" s="10" t="s">
        <v>4</v>
      </c>
      <c r="I4" s="10" t="s">
        <v>5</v>
      </c>
      <c r="J4" s="10" t="s">
        <v>3</v>
      </c>
      <c r="K4" s="10" t="s">
        <v>6</v>
      </c>
      <c r="L4" s="10" t="s">
        <v>12</v>
      </c>
      <c r="M4" s="12" t="s">
        <v>7</v>
      </c>
      <c r="N4" s="12" t="s">
        <v>15</v>
      </c>
      <c r="O4" s="13" t="s">
        <v>8</v>
      </c>
      <c r="P4" s="12" t="s">
        <v>9</v>
      </c>
      <c r="Q4" s="12" t="s">
        <v>10</v>
      </c>
      <c r="R4" s="10" t="s">
        <v>11</v>
      </c>
      <c r="S4" s="14" t="s">
        <v>13</v>
      </c>
      <c r="T4" s="44"/>
      <c r="U4" s="44"/>
      <c r="V4" s="46"/>
      <c r="W4" s="46"/>
      <c r="X4" s="30"/>
      <c r="Y4" s="30"/>
      <c r="Z4" s="30"/>
    </row>
    <row r="5" spans="1:26" x14ac:dyDescent="0.2">
      <c r="A5" s="15" t="s">
        <v>20</v>
      </c>
      <c r="B5" s="16">
        <v>13</v>
      </c>
      <c r="C5" s="16">
        <v>1</v>
      </c>
      <c r="D5" s="16">
        <v>0.8</v>
      </c>
      <c r="E5" s="16">
        <v>125</v>
      </c>
      <c r="F5" s="17">
        <f>B5*C5*D5</f>
        <v>10.4</v>
      </c>
      <c r="G5" s="16">
        <v>0</v>
      </c>
      <c r="H5" s="16">
        <v>0</v>
      </c>
      <c r="I5" s="16">
        <v>0</v>
      </c>
      <c r="J5" s="16" t="s">
        <v>18</v>
      </c>
      <c r="K5" s="16">
        <v>0.4</v>
      </c>
      <c r="L5" s="16"/>
      <c r="M5" s="18">
        <f t="shared" ref="M5:M16" si="0">B5*C5*2*0.75</f>
        <v>19.5</v>
      </c>
      <c r="N5" s="18">
        <f>B5*D5*0.1</f>
        <v>1.04</v>
      </c>
      <c r="O5" s="19">
        <f t="shared" ref="O5:O16" si="1">B5*L5</f>
        <v>0</v>
      </c>
      <c r="P5" s="18">
        <v>0</v>
      </c>
      <c r="Q5" s="18">
        <f t="shared" ref="Q5:Q16" si="2">(B5*D5*K5)-O5-P5</f>
        <v>4.16</v>
      </c>
      <c r="R5" s="19">
        <f t="shared" ref="R5:R16" si="3">F5-S5</f>
        <v>5.2</v>
      </c>
      <c r="S5" s="20">
        <f t="shared" ref="S5:S16" si="4">N5+O5+P5+Q5</f>
        <v>5.2</v>
      </c>
      <c r="T5" s="36"/>
      <c r="U5" s="36"/>
      <c r="V5" s="30"/>
      <c r="W5" s="30"/>
      <c r="X5" s="30"/>
      <c r="Y5" s="30"/>
      <c r="Z5" s="30"/>
    </row>
    <row r="6" spans="1:26" x14ac:dyDescent="0.2">
      <c r="A6" s="15" t="s">
        <v>21</v>
      </c>
      <c r="B6" s="16">
        <v>7</v>
      </c>
      <c r="C6" s="16">
        <v>5</v>
      </c>
      <c r="D6" s="16">
        <v>1.1000000000000001</v>
      </c>
      <c r="E6" s="16">
        <v>110</v>
      </c>
      <c r="F6" s="17">
        <f>B6*C6*D6</f>
        <v>38.5</v>
      </c>
      <c r="G6" s="16">
        <v>0</v>
      </c>
      <c r="H6" s="16">
        <v>0</v>
      </c>
      <c r="I6" s="16">
        <v>0</v>
      </c>
      <c r="J6" s="16" t="s">
        <v>14</v>
      </c>
      <c r="K6" s="16">
        <v>0.4</v>
      </c>
      <c r="L6" s="16"/>
      <c r="M6" s="18">
        <f t="shared" si="0"/>
        <v>52.5</v>
      </c>
      <c r="N6" s="18">
        <f>B6*D6*0.2</f>
        <v>1.5400000000000003</v>
      </c>
      <c r="O6" s="19">
        <f t="shared" si="1"/>
        <v>0</v>
      </c>
      <c r="P6" s="18">
        <v>0</v>
      </c>
      <c r="Q6" s="18">
        <f t="shared" si="2"/>
        <v>3.0800000000000005</v>
      </c>
      <c r="R6" s="19">
        <f t="shared" si="3"/>
        <v>33.879999999999995</v>
      </c>
      <c r="S6" s="20">
        <f t="shared" si="4"/>
        <v>4.620000000000001</v>
      </c>
      <c r="T6" s="36"/>
      <c r="U6" s="36"/>
      <c r="V6" s="30"/>
      <c r="W6" s="30"/>
      <c r="X6" s="30"/>
      <c r="Y6" s="30"/>
      <c r="Z6" s="30"/>
    </row>
    <row r="7" spans="1:26" x14ac:dyDescent="0.2">
      <c r="A7" s="15" t="s">
        <v>22</v>
      </c>
      <c r="B7" s="16">
        <v>7</v>
      </c>
      <c r="C7" s="16">
        <v>5</v>
      </c>
      <c r="D7" s="16">
        <v>1.1000000000000001</v>
      </c>
      <c r="E7" s="16">
        <v>125</v>
      </c>
      <c r="F7" s="17">
        <f>B7*C7*D7</f>
        <v>38.5</v>
      </c>
      <c r="G7" s="16">
        <v>0</v>
      </c>
      <c r="H7" s="16">
        <v>0</v>
      </c>
      <c r="I7" s="16">
        <v>0</v>
      </c>
      <c r="J7" s="16" t="s">
        <v>14</v>
      </c>
      <c r="K7" s="16">
        <v>0.4</v>
      </c>
      <c r="L7" s="16"/>
      <c r="M7" s="18">
        <f t="shared" si="0"/>
        <v>52.5</v>
      </c>
      <c r="N7" s="18">
        <f t="shared" ref="N7:N16" si="5">B7*D7*0.1</f>
        <v>0.77000000000000013</v>
      </c>
      <c r="O7" s="19">
        <f t="shared" si="1"/>
        <v>0</v>
      </c>
      <c r="P7" s="18">
        <v>0</v>
      </c>
      <c r="Q7" s="18">
        <f t="shared" si="2"/>
        <v>3.0800000000000005</v>
      </c>
      <c r="R7" s="19">
        <f t="shared" si="3"/>
        <v>34.65</v>
      </c>
      <c r="S7" s="20">
        <f t="shared" si="4"/>
        <v>3.8500000000000005</v>
      </c>
      <c r="T7" s="36"/>
      <c r="U7" s="36"/>
      <c r="V7" s="30"/>
      <c r="W7" s="30"/>
      <c r="X7" s="30"/>
      <c r="Y7" s="30"/>
      <c r="Z7" s="30"/>
    </row>
    <row r="8" spans="1:26" x14ac:dyDescent="0.2">
      <c r="A8" s="15" t="s">
        <v>16</v>
      </c>
      <c r="B8" s="16">
        <v>10</v>
      </c>
      <c r="C8" s="16">
        <v>5</v>
      </c>
      <c r="D8" s="16">
        <v>1.1000000000000001</v>
      </c>
      <c r="E8" s="16">
        <v>90</v>
      </c>
      <c r="F8" s="17">
        <f>B8*C8*D8</f>
        <v>55.000000000000007</v>
      </c>
      <c r="G8" s="16">
        <v>0</v>
      </c>
      <c r="H8" s="16">
        <v>0</v>
      </c>
      <c r="I8" s="16">
        <v>0</v>
      </c>
      <c r="J8" s="16" t="s">
        <v>14</v>
      </c>
      <c r="K8" s="16">
        <v>0.4</v>
      </c>
      <c r="L8" s="16"/>
      <c r="M8" s="18">
        <f t="shared" si="0"/>
        <v>75</v>
      </c>
      <c r="N8" s="18">
        <f t="shared" si="5"/>
        <v>1.1000000000000001</v>
      </c>
      <c r="O8" s="19">
        <f t="shared" si="1"/>
        <v>0</v>
      </c>
      <c r="P8" s="18">
        <v>0</v>
      </c>
      <c r="Q8" s="18">
        <f t="shared" si="2"/>
        <v>4.4000000000000004</v>
      </c>
      <c r="R8" s="19">
        <f t="shared" si="3"/>
        <v>49.500000000000007</v>
      </c>
      <c r="S8" s="20">
        <f t="shared" si="4"/>
        <v>5.5</v>
      </c>
      <c r="T8" s="36"/>
      <c r="U8" s="36"/>
      <c r="V8" s="30"/>
      <c r="W8" s="30"/>
      <c r="X8" s="30"/>
      <c r="Y8" s="30"/>
      <c r="Z8" s="30"/>
    </row>
    <row r="9" spans="1:26" s="55" customFormat="1" x14ac:dyDescent="0.2">
      <c r="A9" s="47"/>
      <c r="B9" s="48"/>
      <c r="C9" s="48"/>
      <c r="D9" s="48"/>
      <c r="E9" s="48"/>
      <c r="F9" s="49">
        <f>SUM(F5:F8)</f>
        <v>142.4</v>
      </c>
      <c r="G9" s="48"/>
      <c r="H9" s="48"/>
      <c r="I9" s="48"/>
      <c r="J9" s="48"/>
      <c r="K9" s="48"/>
      <c r="L9" s="48"/>
      <c r="M9" s="50">
        <f>SUM(M5:M8)</f>
        <v>199.5</v>
      </c>
      <c r="N9" s="50">
        <f>SUM(N5:N8)</f>
        <v>4.45</v>
      </c>
      <c r="O9" s="51"/>
      <c r="P9" s="50"/>
      <c r="Q9" s="50">
        <f>SUM(Q5:Q8)</f>
        <v>14.72</v>
      </c>
      <c r="R9" s="51">
        <f>SUM(R5:R8)</f>
        <v>123.22999999999999</v>
      </c>
      <c r="S9" s="52">
        <f>SUM(S5:S8)</f>
        <v>19.170000000000002</v>
      </c>
      <c r="T9" s="53"/>
      <c r="U9" s="53"/>
      <c r="V9" s="54"/>
      <c r="W9" s="54"/>
      <c r="X9" s="54"/>
      <c r="Y9" s="54"/>
      <c r="Z9" s="54"/>
    </row>
    <row r="10" spans="1:26" x14ac:dyDescent="0.2">
      <c r="A10" s="15" t="s">
        <v>23</v>
      </c>
      <c r="B10" s="16">
        <v>7</v>
      </c>
      <c r="C10" s="16">
        <v>2.5</v>
      </c>
      <c r="D10" s="16">
        <v>1.1000000000000001</v>
      </c>
      <c r="E10" s="16">
        <v>63</v>
      </c>
      <c r="F10" s="17">
        <f>B10*C10*D10</f>
        <v>19.25</v>
      </c>
      <c r="G10" s="16">
        <v>0</v>
      </c>
      <c r="H10" s="16">
        <v>0</v>
      </c>
      <c r="I10" s="16">
        <v>0</v>
      </c>
      <c r="J10" s="16" t="s">
        <v>14</v>
      </c>
      <c r="K10" s="16">
        <v>0.4</v>
      </c>
      <c r="L10" s="16"/>
      <c r="M10" s="18">
        <f t="shared" si="0"/>
        <v>26.25</v>
      </c>
      <c r="N10" s="18">
        <f t="shared" si="5"/>
        <v>0.77000000000000013</v>
      </c>
      <c r="O10" s="19">
        <f t="shared" si="1"/>
        <v>0</v>
      </c>
      <c r="P10" s="18">
        <v>0</v>
      </c>
      <c r="Q10" s="18">
        <f t="shared" si="2"/>
        <v>3.0800000000000005</v>
      </c>
      <c r="R10" s="19">
        <f t="shared" si="3"/>
        <v>15.399999999999999</v>
      </c>
      <c r="S10" s="20">
        <f t="shared" si="4"/>
        <v>3.8500000000000005</v>
      </c>
      <c r="T10" s="36"/>
      <c r="U10" s="36"/>
      <c r="V10" s="30"/>
      <c r="W10" s="30"/>
      <c r="X10" s="30"/>
      <c r="Y10" s="30"/>
      <c r="Z10" s="30"/>
    </row>
    <row r="11" spans="1:26" x14ac:dyDescent="0.2">
      <c r="A11" s="15" t="s">
        <v>24</v>
      </c>
      <c r="B11" s="16">
        <v>10</v>
      </c>
      <c r="C11" s="16">
        <v>1.5</v>
      </c>
      <c r="D11" s="16">
        <v>0.8</v>
      </c>
      <c r="E11" s="16">
        <v>90</v>
      </c>
      <c r="F11" s="17">
        <f>B11*C11*D11</f>
        <v>12</v>
      </c>
      <c r="G11" s="16">
        <v>0</v>
      </c>
      <c r="H11" s="16">
        <v>0</v>
      </c>
      <c r="I11" s="16">
        <v>0</v>
      </c>
      <c r="J11" s="16" t="s">
        <v>14</v>
      </c>
      <c r="K11" s="16">
        <v>0.4</v>
      </c>
      <c r="L11" s="16"/>
      <c r="M11" s="18">
        <f t="shared" si="0"/>
        <v>22.5</v>
      </c>
      <c r="N11" s="18">
        <f t="shared" si="5"/>
        <v>0.8</v>
      </c>
      <c r="O11" s="19">
        <f t="shared" si="1"/>
        <v>0</v>
      </c>
      <c r="P11" s="18">
        <v>0</v>
      </c>
      <c r="Q11" s="18">
        <f t="shared" si="2"/>
        <v>3.2</v>
      </c>
      <c r="R11" s="19">
        <f t="shared" si="3"/>
        <v>8</v>
      </c>
      <c r="S11" s="20">
        <f t="shared" si="4"/>
        <v>4</v>
      </c>
      <c r="T11" s="36"/>
      <c r="U11" s="36"/>
      <c r="V11" s="30"/>
      <c r="W11" s="30"/>
      <c r="X11" s="30"/>
      <c r="Y11" s="30"/>
      <c r="Z11" s="30"/>
    </row>
    <row r="12" spans="1:26" x14ac:dyDescent="0.2">
      <c r="A12" s="15" t="s">
        <v>25</v>
      </c>
      <c r="B12" s="16">
        <v>30</v>
      </c>
      <c r="C12" s="16">
        <v>1</v>
      </c>
      <c r="D12" s="16">
        <v>0.8</v>
      </c>
      <c r="E12" s="16">
        <v>90</v>
      </c>
      <c r="F12" s="17">
        <f>B12*C12*D12</f>
        <v>24</v>
      </c>
      <c r="G12" s="16">
        <v>0</v>
      </c>
      <c r="H12" s="16">
        <v>0</v>
      </c>
      <c r="I12" s="16">
        <v>0</v>
      </c>
      <c r="J12" s="16" t="s">
        <v>14</v>
      </c>
      <c r="K12" s="16">
        <v>0.4</v>
      </c>
      <c r="L12" s="16"/>
      <c r="M12" s="18">
        <f t="shared" si="0"/>
        <v>45</v>
      </c>
      <c r="N12" s="18">
        <f t="shared" si="5"/>
        <v>2.4000000000000004</v>
      </c>
      <c r="O12" s="19">
        <f t="shared" si="1"/>
        <v>0</v>
      </c>
      <c r="P12" s="18">
        <v>0</v>
      </c>
      <c r="Q12" s="18">
        <f t="shared" si="2"/>
        <v>9.6000000000000014</v>
      </c>
      <c r="R12" s="19">
        <f t="shared" si="3"/>
        <v>11.999999999999998</v>
      </c>
      <c r="S12" s="20">
        <f t="shared" si="4"/>
        <v>12.000000000000002</v>
      </c>
      <c r="T12" s="36"/>
      <c r="U12" s="36"/>
      <c r="V12" s="30"/>
      <c r="W12" s="30"/>
      <c r="X12" s="30"/>
      <c r="Y12" s="30"/>
      <c r="Z12" s="30"/>
    </row>
    <row r="13" spans="1:26" s="55" customFormat="1" x14ac:dyDescent="0.2">
      <c r="A13" s="47"/>
      <c r="B13" s="48"/>
      <c r="C13" s="48"/>
      <c r="D13" s="48"/>
      <c r="E13" s="48"/>
      <c r="F13" s="49">
        <f>SUM(F10:F12)</f>
        <v>55.25</v>
      </c>
      <c r="G13" s="48"/>
      <c r="H13" s="48"/>
      <c r="I13" s="48"/>
      <c r="J13" s="48"/>
      <c r="K13" s="48"/>
      <c r="L13" s="48"/>
      <c r="M13" s="50">
        <f>SUM(M10:M12)</f>
        <v>93.75</v>
      </c>
      <c r="N13" s="50">
        <f>SUM(N10:N12)</f>
        <v>3.9700000000000006</v>
      </c>
      <c r="O13" s="51"/>
      <c r="P13" s="50"/>
      <c r="Q13" s="50">
        <f>SUM(Q10:Q12)</f>
        <v>15.880000000000003</v>
      </c>
      <c r="R13" s="51">
        <f>SUM(R10:R12)</f>
        <v>35.4</v>
      </c>
      <c r="S13" s="52">
        <f>SUM(S10:S12)</f>
        <v>19.850000000000001</v>
      </c>
      <c r="T13" s="53"/>
      <c r="U13" s="53"/>
      <c r="V13" s="54"/>
      <c r="W13" s="54"/>
      <c r="X13" s="54"/>
      <c r="Y13" s="54"/>
      <c r="Z13" s="54"/>
    </row>
    <row r="14" spans="1:26" x14ac:dyDescent="0.2">
      <c r="A14" s="15" t="s">
        <v>17</v>
      </c>
      <c r="B14" s="16">
        <v>8</v>
      </c>
      <c r="C14" s="16">
        <v>4</v>
      </c>
      <c r="D14" s="16">
        <v>1.1000000000000001</v>
      </c>
      <c r="E14" s="16">
        <v>90</v>
      </c>
      <c r="F14" s="17">
        <f>B14*C14*D14</f>
        <v>35.200000000000003</v>
      </c>
      <c r="G14" s="16">
        <v>0</v>
      </c>
      <c r="H14" s="16">
        <v>0</v>
      </c>
      <c r="I14" s="16">
        <v>0</v>
      </c>
      <c r="J14" s="16" t="s">
        <v>14</v>
      </c>
      <c r="K14" s="16">
        <v>0.4</v>
      </c>
      <c r="L14" s="16"/>
      <c r="M14" s="18">
        <f t="shared" si="0"/>
        <v>48</v>
      </c>
      <c r="N14" s="18">
        <f t="shared" si="5"/>
        <v>0.88000000000000012</v>
      </c>
      <c r="O14" s="19">
        <f t="shared" si="1"/>
        <v>0</v>
      </c>
      <c r="P14" s="18">
        <v>0</v>
      </c>
      <c r="Q14" s="18">
        <f t="shared" si="2"/>
        <v>3.5200000000000005</v>
      </c>
      <c r="R14" s="19">
        <f t="shared" si="3"/>
        <v>30.800000000000004</v>
      </c>
      <c r="S14" s="20">
        <f t="shared" si="4"/>
        <v>4.4000000000000004</v>
      </c>
      <c r="T14" s="36"/>
      <c r="U14" s="36"/>
      <c r="V14" s="30"/>
      <c r="W14" s="30"/>
      <c r="X14" s="30"/>
      <c r="Y14" s="30"/>
      <c r="Z14" s="30"/>
    </row>
    <row r="15" spans="1:26" x14ac:dyDescent="0.2">
      <c r="A15" s="15" t="s">
        <v>26</v>
      </c>
      <c r="B15" s="16">
        <v>24</v>
      </c>
      <c r="C15" s="16">
        <v>4</v>
      </c>
      <c r="D15" s="16">
        <v>1.1000000000000001</v>
      </c>
      <c r="E15" s="16">
        <v>63</v>
      </c>
      <c r="F15" s="17">
        <f>B15*C15*D15</f>
        <v>105.60000000000001</v>
      </c>
      <c r="G15" s="16">
        <v>0</v>
      </c>
      <c r="H15" s="16">
        <v>0</v>
      </c>
      <c r="I15" s="16">
        <v>0</v>
      </c>
      <c r="J15" s="16" t="s">
        <v>14</v>
      </c>
      <c r="K15" s="16">
        <v>0.4</v>
      </c>
      <c r="L15" s="16"/>
      <c r="M15" s="18">
        <f t="shared" si="0"/>
        <v>144</v>
      </c>
      <c r="N15" s="18">
        <f t="shared" si="5"/>
        <v>2.6400000000000006</v>
      </c>
      <c r="O15" s="19">
        <f t="shared" si="1"/>
        <v>0</v>
      </c>
      <c r="P15" s="18">
        <v>0</v>
      </c>
      <c r="Q15" s="18">
        <f t="shared" si="2"/>
        <v>10.560000000000002</v>
      </c>
      <c r="R15" s="19">
        <f t="shared" si="3"/>
        <v>92.4</v>
      </c>
      <c r="S15" s="20">
        <f t="shared" si="4"/>
        <v>13.200000000000003</v>
      </c>
      <c r="T15" s="36"/>
      <c r="U15" s="36"/>
      <c r="V15" s="30"/>
      <c r="W15" s="30"/>
      <c r="X15" s="30"/>
      <c r="Y15" s="30"/>
      <c r="Z15" s="30"/>
    </row>
    <row r="16" spans="1:26" x14ac:dyDescent="0.2">
      <c r="A16" s="15" t="s">
        <v>27</v>
      </c>
      <c r="B16" s="16">
        <v>8</v>
      </c>
      <c r="C16" s="16">
        <v>4</v>
      </c>
      <c r="D16" s="16">
        <v>1.1000000000000001</v>
      </c>
      <c r="E16" s="16">
        <v>90</v>
      </c>
      <c r="F16" s="17">
        <f>B16*C16*D16</f>
        <v>35.200000000000003</v>
      </c>
      <c r="G16" s="16">
        <v>0</v>
      </c>
      <c r="H16" s="16">
        <v>0</v>
      </c>
      <c r="I16" s="16">
        <v>0</v>
      </c>
      <c r="J16" s="16" t="s">
        <v>14</v>
      </c>
      <c r="K16" s="16">
        <v>0.4</v>
      </c>
      <c r="L16" s="16"/>
      <c r="M16" s="18">
        <f t="shared" si="0"/>
        <v>48</v>
      </c>
      <c r="N16" s="18">
        <f t="shared" si="5"/>
        <v>0.88000000000000012</v>
      </c>
      <c r="O16" s="19">
        <f t="shared" si="1"/>
        <v>0</v>
      </c>
      <c r="P16" s="18">
        <v>0</v>
      </c>
      <c r="Q16" s="18">
        <f t="shared" si="2"/>
        <v>3.5200000000000005</v>
      </c>
      <c r="R16" s="19">
        <f t="shared" si="3"/>
        <v>30.800000000000004</v>
      </c>
      <c r="S16" s="20">
        <f t="shared" si="4"/>
        <v>4.4000000000000004</v>
      </c>
      <c r="T16" s="36"/>
      <c r="U16" s="36"/>
      <c r="V16" s="30"/>
      <c r="W16" s="30"/>
      <c r="X16" s="30"/>
      <c r="Y16" s="30"/>
      <c r="Z16" s="30"/>
    </row>
    <row r="17" spans="1:26" s="55" customFormat="1" x14ac:dyDescent="0.2">
      <c r="A17" s="47"/>
      <c r="B17" s="48"/>
      <c r="C17" s="48"/>
      <c r="D17" s="48"/>
      <c r="E17" s="48"/>
      <c r="F17" s="49">
        <f>SUM(F14:F16)</f>
        <v>176</v>
      </c>
      <c r="G17" s="48"/>
      <c r="H17" s="48"/>
      <c r="I17" s="48"/>
      <c r="J17" s="48"/>
      <c r="K17" s="48"/>
      <c r="L17" s="48"/>
      <c r="M17" s="50">
        <f>SUM(M14:M16)</f>
        <v>240</v>
      </c>
      <c r="N17" s="50">
        <f>SUM(N14:N16)</f>
        <v>4.4000000000000004</v>
      </c>
      <c r="O17" s="51"/>
      <c r="P17" s="50"/>
      <c r="Q17" s="50">
        <f>SUM(Q14:Q16)</f>
        <v>17.600000000000001</v>
      </c>
      <c r="R17" s="51">
        <f>SUM(R14:R16)</f>
        <v>154.00000000000003</v>
      </c>
      <c r="S17" s="52">
        <f>SUM(S14:S16)</f>
        <v>22</v>
      </c>
      <c r="T17" s="53"/>
      <c r="U17" s="53"/>
      <c r="V17" s="54"/>
      <c r="W17" s="54"/>
      <c r="X17" s="54"/>
      <c r="Y17" s="54"/>
      <c r="Z17" s="54"/>
    </row>
    <row r="18" spans="1:26" x14ac:dyDescent="0.2">
      <c r="A18" s="15"/>
      <c r="B18" s="16"/>
      <c r="C18" s="16"/>
      <c r="D18" s="16"/>
      <c r="E18" s="16"/>
      <c r="F18" s="17"/>
      <c r="G18" s="16"/>
      <c r="H18" s="16"/>
      <c r="I18" s="16"/>
      <c r="J18" s="16"/>
      <c r="K18" s="16"/>
      <c r="L18" s="16"/>
      <c r="M18" s="18"/>
      <c r="N18" s="18"/>
      <c r="O18" s="19"/>
      <c r="P18" s="18"/>
      <c r="Q18" s="18"/>
      <c r="R18" s="19"/>
      <c r="S18" s="20"/>
      <c r="T18" s="36"/>
      <c r="U18" s="36"/>
      <c r="V18" s="30"/>
      <c r="W18" s="30"/>
      <c r="X18" s="30"/>
      <c r="Y18" s="30"/>
      <c r="Z18" s="30"/>
    </row>
    <row r="19" spans="1:26" x14ac:dyDescent="0.2">
      <c r="A19" s="45"/>
      <c r="B19" s="16"/>
      <c r="C19" s="16"/>
      <c r="D19" s="16"/>
      <c r="E19" s="16"/>
      <c r="F19" s="17"/>
      <c r="G19" s="16"/>
      <c r="H19" s="16"/>
      <c r="I19" s="16"/>
      <c r="J19" s="16"/>
      <c r="K19" s="16"/>
      <c r="L19" s="16"/>
      <c r="M19" s="18"/>
      <c r="N19" s="18"/>
      <c r="O19" s="19"/>
      <c r="P19" s="18"/>
      <c r="Q19" s="18"/>
      <c r="R19" s="19"/>
      <c r="S19" s="20"/>
      <c r="T19" s="36"/>
      <c r="U19" s="36"/>
      <c r="V19" s="30"/>
      <c r="W19" s="30"/>
      <c r="X19" s="30"/>
      <c r="Y19" s="30"/>
      <c r="Z19" s="30"/>
    </row>
    <row r="20" spans="1:26" x14ac:dyDescent="0.2">
      <c r="A20" s="45"/>
      <c r="B20" s="32"/>
      <c r="C20" s="16"/>
      <c r="D20" s="16"/>
      <c r="E20" s="32"/>
      <c r="F20" s="17"/>
      <c r="G20" s="16"/>
      <c r="H20" s="16"/>
      <c r="I20" s="16"/>
      <c r="J20" s="16"/>
      <c r="K20" s="16"/>
      <c r="L20" s="16"/>
      <c r="M20" s="18"/>
      <c r="N20" s="18"/>
      <c r="O20" s="19"/>
      <c r="P20" s="18"/>
      <c r="Q20" s="18"/>
      <c r="R20" s="19"/>
      <c r="S20" s="20"/>
      <c r="T20" s="36"/>
      <c r="U20" s="36"/>
      <c r="V20" s="30"/>
      <c r="W20" s="30"/>
      <c r="X20" s="30"/>
      <c r="Y20" s="30"/>
      <c r="Z20" s="30"/>
    </row>
    <row r="21" spans="1:26" x14ac:dyDescent="0.2">
      <c r="A21" s="45"/>
      <c r="B21" s="32"/>
      <c r="C21" s="16"/>
      <c r="D21" s="16"/>
      <c r="E21" s="32"/>
      <c r="F21" s="17"/>
      <c r="G21" s="16"/>
      <c r="H21" s="16"/>
      <c r="I21" s="16"/>
      <c r="J21" s="16"/>
      <c r="K21" s="16"/>
      <c r="L21" s="16"/>
      <c r="M21" s="18"/>
      <c r="N21" s="18"/>
      <c r="O21" s="19"/>
      <c r="P21" s="18"/>
      <c r="Q21" s="18"/>
      <c r="R21" s="19"/>
      <c r="S21" s="20"/>
      <c r="T21" s="36"/>
      <c r="U21" s="36"/>
      <c r="V21" s="30"/>
      <c r="W21" s="30"/>
      <c r="X21" s="30"/>
      <c r="Y21" s="30"/>
      <c r="Z21" s="30"/>
    </row>
    <row r="22" spans="1:26" ht="13.5" thickBot="1" x14ac:dyDescent="0.25">
      <c r="A22" s="21"/>
      <c r="B22" s="22"/>
      <c r="C22" s="22"/>
      <c r="D22" s="22"/>
      <c r="E22" s="22"/>
      <c r="F22" s="23"/>
      <c r="G22" s="22"/>
      <c r="H22" s="22"/>
      <c r="I22" s="22"/>
      <c r="J22" s="22"/>
      <c r="K22" s="22"/>
      <c r="L22" s="22"/>
      <c r="M22" s="24"/>
      <c r="N22" s="24"/>
      <c r="O22" s="25"/>
      <c r="P22" s="24"/>
      <c r="Q22" s="24"/>
      <c r="R22" s="25"/>
      <c r="S22" s="26"/>
      <c r="T22" s="36"/>
      <c r="U22" s="36"/>
      <c r="V22" s="30"/>
      <c r="W22" s="30"/>
      <c r="X22" s="30"/>
      <c r="Y22" s="30"/>
      <c r="Z22" s="30"/>
    </row>
    <row r="23" spans="1:26" x14ac:dyDescent="0.2">
      <c r="A23" s="29"/>
      <c r="B23" s="29"/>
      <c r="C23" s="29"/>
      <c r="D23" s="29"/>
      <c r="E23" s="29"/>
      <c r="F23" s="33"/>
      <c r="G23" s="29"/>
      <c r="H23" s="29"/>
      <c r="I23" s="29"/>
      <c r="J23" s="29"/>
      <c r="K23" s="29"/>
      <c r="L23" s="29"/>
      <c r="M23" s="34"/>
      <c r="N23" s="34"/>
      <c r="O23" s="36"/>
      <c r="P23" s="34"/>
      <c r="Q23" s="34"/>
      <c r="R23" s="36"/>
      <c r="S23" s="34"/>
      <c r="T23" s="36"/>
      <c r="U23" s="36"/>
      <c r="V23" s="30"/>
      <c r="W23" s="30"/>
      <c r="X23" s="30"/>
      <c r="Y23" s="30"/>
      <c r="Z23" s="30"/>
    </row>
    <row r="24" spans="1:26" x14ac:dyDescent="0.2">
      <c r="A24" s="29"/>
      <c r="B24" s="29"/>
      <c r="C24" s="29"/>
      <c r="D24" s="29"/>
      <c r="E24" s="29"/>
      <c r="F24" s="33"/>
      <c r="G24" s="29"/>
      <c r="H24" s="29"/>
      <c r="I24" s="29"/>
      <c r="J24" s="29"/>
      <c r="K24" s="29"/>
      <c r="L24" s="29"/>
      <c r="M24" s="34"/>
      <c r="N24" s="34"/>
      <c r="O24" s="36"/>
      <c r="P24" s="34"/>
      <c r="Q24" s="34"/>
      <c r="R24" s="36"/>
      <c r="S24" s="34"/>
      <c r="T24" s="36"/>
      <c r="U24" s="36"/>
      <c r="V24" s="30"/>
      <c r="W24" s="30"/>
      <c r="X24" s="30"/>
      <c r="Y24" s="30"/>
      <c r="Z24" s="30"/>
    </row>
    <row r="25" spans="1:26" x14ac:dyDescent="0.2">
      <c r="A25" s="29"/>
      <c r="B25" s="29"/>
      <c r="C25" s="29"/>
      <c r="D25" s="29"/>
      <c r="E25" s="29"/>
      <c r="F25" s="33"/>
      <c r="G25" s="29"/>
      <c r="H25" s="29"/>
      <c r="I25" s="29"/>
      <c r="J25" s="29"/>
      <c r="K25" s="29"/>
      <c r="L25" s="29"/>
      <c r="M25" s="34"/>
      <c r="N25" s="34"/>
      <c r="O25" s="36"/>
      <c r="P25" s="34"/>
      <c r="Q25" s="34"/>
      <c r="R25" s="36"/>
      <c r="S25" s="34"/>
      <c r="T25" s="36"/>
      <c r="U25" s="36"/>
      <c r="V25" s="30"/>
      <c r="W25" s="30"/>
      <c r="X25" s="30"/>
      <c r="Y25" s="30"/>
      <c r="Z25" s="30"/>
    </row>
    <row r="26" spans="1:26" x14ac:dyDescent="0.2">
      <c r="A26" s="29"/>
      <c r="B26" s="29"/>
      <c r="C26" s="29"/>
      <c r="D26" s="29"/>
      <c r="E26" s="29"/>
      <c r="F26" s="33"/>
      <c r="G26" s="29"/>
      <c r="H26" s="29"/>
      <c r="I26" s="29"/>
      <c r="J26" s="29"/>
      <c r="K26" s="29"/>
      <c r="L26" s="29"/>
      <c r="M26" s="34"/>
      <c r="N26" s="34"/>
      <c r="O26" s="36"/>
      <c r="P26" s="34"/>
      <c r="Q26" s="34"/>
      <c r="R26" s="36"/>
      <c r="S26" s="34"/>
      <c r="T26" s="36"/>
      <c r="U26" s="36"/>
      <c r="V26" s="30"/>
      <c r="W26" s="30"/>
      <c r="X26" s="30"/>
      <c r="Y26" s="30"/>
      <c r="Z26" s="30"/>
    </row>
    <row r="27" spans="1:26" x14ac:dyDescent="0.2">
      <c r="A27" s="29"/>
      <c r="B27" s="29"/>
      <c r="C27" s="29"/>
      <c r="D27" s="29"/>
      <c r="E27" s="29"/>
      <c r="F27" s="33"/>
      <c r="G27" s="29"/>
      <c r="H27" s="29"/>
      <c r="I27" s="29"/>
      <c r="J27" s="29"/>
      <c r="K27" s="29"/>
      <c r="L27" s="29"/>
      <c r="M27" s="34"/>
      <c r="N27" s="34"/>
      <c r="O27" s="36"/>
      <c r="P27" s="34"/>
      <c r="Q27" s="34"/>
      <c r="R27" s="36"/>
      <c r="S27" s="34"/>
      <c r="T27" s="36"/>
      <c r="U27" s="36"/>
      <c r="V27" s="30"/>
      <c r="W27" s="30"/>
      <c r="X27" s="30"/>
      <c r="Y27" s="30"/>
      <c r="Z27" s="30"/>
    </row>
    <row r="28" spans="1:26" x14ac:dyDescent="0.2">
      <c r="A28" s="29"/>
      <c r="B28" s="29"/>
      <c r="C28" s="29"/>
      <c r="D28" s="29"/>
      <c r="E28" s="29"/>
      <c r="F28" s="33"/>
      <c r="G28" s="29"/>
      <c r="H28" s="29"/>
      <c r="I28" s="29"/>
      <c r="J28" s="29"/>
      <c r="K28" s="29"/>
      <c r="L28" s="29"/>
      <c r="M28" s="34"/>
      <c r="N28" s="34"/>
      <c r="O28" s="36"/>
      <c r="P28" s="34"/>
      <c r="Q28" s="34"/>
      <c r="R28" s="36"/>
      <c r="S28" s="34"/>
      <c r="T28" s="36"/>
      <c r="U28" s="36"/>
      <c r="V28" s="30"/>
      <c r="W28" s="30"/>
      <c r="X28" s="30"/>
      <c r="Y28" s="30"/>
      <c r="Z28" s="30"/>
    </row>
    <row r="29" spans="1:26" x14ac:dyDescent="0.2">
      <c r="A29" s="29"/>
      <c r="B29" s="29"/>
      <c r="C29" s="29"/>
      <c r="D29" s="29"/>
      <c r="E29" s="29"/>
      <c r="F29" s="33"/>
      <c r="G29" s="29"/>
      <c r="H29" s="29"/>
      <c r="I29" s="29"/>
      <c r="J29" s="29"/>
      <c r="K29" s="29"/>
      <c r="L29" s="29"/>
      <c r="M29" s="34"/>
      <c r="N29" s="34"/>
      <c r="O29" s="36"/>
      <c r="P29" s="34"/>
      <c r="Q29" s="34"/>
      <c r="R29" s="36"/>
      <c r="S29" s="34"/>
      <c r="T29" s="36"/>
      <c r="U29" s="36"/>
      <c r="V29" s="30"/>
      <c r="W29" s="30"/>
      <c r="X29" s="30"/>
      <c r="Y29" s="30"/>
      <c r="Z29" s="30"/>
    </row>
    <row r="30" spans="1:26" x14ac:dyDescent="0.2">
      <c r="A30" s="29"/>
      <c r="B30" s="29"/>
      <c r="C30" s="29"/>
      <c r="D30" s="29"/>
      <c r="E30" s="29"/>
      <c r="F30" s="33"/>
      <c r="G30" s="29"/>
      <c r="H30" s="29"/>
      <c r="I30" s="29"/>
      <c r="J30" s="29"/>
      <c r="K30" s="29"/>
      <c r="L30" s="29"/>
      <c r="M30" s="34"/>
      <c r="N30" s="34"/>
      <c r="O30" s="36"/>
      <c r="P30" s="34"/>
      <c r="Q30" s="34"/>
      <c r="R30" s="36"/>
      <c r="S30" s="34"/>
      <c r="T30" s="36"/>
      <c r="U30" s="36"/>
      <c r="V30" s="30"/>
      <c r="W30" s="30"/>
      <c r="X30" s="30"/>
      <c r="Y30" s="30"/>
      <c r="Z30" s="30"/>
    </row>
    <row r="31" spans="1:26" x14ac:dyDescent="0.2">
      <c r="A31" s="29"/>
      <c r="B31" s="29"/>
      <c r="C31" s="29"/>
      <c r="D31" s="29"/>
      <c r="E31" s="29"/>
      <c r="F31" s="33"/>
      <c r="G31" s="29"/>
      <c r="H31" s="29"/>
      <c r="I31" s="29"/>
      <c r="J31" s="29"/>
      <c r="K31" s="29"/>
      <c r="L31" s="29"/>
      <c r="M31" s="34"/>
      <c r="N31" s="34"/>
      <c r="O31" s="36"/>
      <c r="P31" s="34"/>
      <c r="Q31" s="34"/>
      <c r="R31" s="36"/>
      <c r="S31" s="34"/>
      <c r="T31" s="36"/>
      <c r="U31" s="36"/>
      <c r="V31" s="30"/>
      <c r="W31" s="30"/>
      <c r="X31" s="30"/>
      <c r="Y31" s="30"/>
      <c r="Z31" s="30"/>
    </row>
    <row r="32" spans="1:26" x14ac:dyDescent="0.2">
      <c r="A32" s="29"/>
      <c r="B32" s="29"/>
      <c r="C32" s="29"/>
      <c r="D32" s="29"/>
      <c r="E32" s="29"/>
      <c r="F32" s="33"/>
      <c r="G32" s="29"/>
      <c r="H32" s="29"/>
      <c r="I32" s="29"/>
      <c r="J32" s="29"/>
      <c r="K32" s="29"/>
      <c r="L32" s="29"/>
      <c r="M32" s="34"/>
      <c r="N32" s="34"/>
      <c r="O32" s="36"/>
      <c r="P32" s="34"/>
      <c r="Q32" s="34"/>
      <c r="R32" s="36"/>
      <c r="S32" s="34"/>
      <c r="T32" s="36"/>
      <c r="U32" s="36"/>
      <c r="V32" s="30"/>
      <c r="W32" s="30"/>
      <c r="X32" s="30"/>
      <c r="Y32" s="30"/>
      <c r="Z32" s="30"/>
    </row>
    <row r="33" spans="1:26" x14ac:dyDescent="0.2">
      <c r="A33" s="29"/>
      <c r="B33" s="29"/>
      <c r="C33" s="29"/>
      <c r="D33" s="29"/>
      <c r="E33" s="29"/>
      <c r="F33" s="33"/>
      <c r="G33" s="29"/>
      <c r="H33" s="29"/>
      <c r="I33" s="29"/>
      <c r="J33" s="29"/>
      <c r="K33" s="29"/>
      <c r="L33" s="29"/>
      <c r="M33" s="34"/>
      <c r="N33" s="34"/>
      <c r="O33" s="36"/>
      <c r="P33" s="34"/>
      <c r="Q33" s="34"/>
      <c r="R33" s="36"/>
      <c r="S33" s="34"/>
      <c r="T33" s="36"/>
      <c r="U33" s="36"/>
      <c r="V33" s="30"/>
      <c r="W33" s="30"/>
      <c r="X33" s="30"/>
      <c r="Y33" s="30"/>
      <c r="Z33" s="30"/>
    </row>
    <row r="34" spans="1:26" x14ac:dyDescent="0.2">
      <c r="A34" s="29"/>
      <c r="B34" s="29"/>
      <c r="C34" s="29"/>
      <c r="D34" s="29"/>
      <c r="E34" s="29"/>
      <c r="F34" s="33"/>
      <c r="G34" s="29"/>
      <c r="H34" s="29"/>
      <c r="I34" s="29"/>
      <c r="J34" s="29"/>
      <c r="K34" s="29"/>
      <c r="L34" s="29"/>
      <c r="M34" s="34"/>
      <c r="N34" s="34"/>
      <c r="O34" s="36"/>
      <c r="P34" s="34"/>
      <c r="Q34" s="34"/>
      <c r="R34" s="36"/>
      <c r="S34" s="34"/>
      <c r="T34" s="36"/>
      <c r="U34" s="36"/>
      <c r="V34" s="30"/>
      <c r="W34" s="30"/>
      <c r="X34" s="30"/>
      <c r="Y34" s="30"/>
      <c r="Z34" s="30"/>
    </row>
    <row r="35" spans="1:26" x14ac:dyDescent="0.2">
      <c r="A35" s="29"/>
      <c r="B35" s="29"/>
      <c r="C35" s="29"/>
      <c r="D35" s="29"/>
      <c r="E35" s="29"/>
      <c r="F35" s="33"/>
      <c r="G35" s="29"/>
      <c r="H35" s="29"/>
      <c r="I35" s="29"/>
      <c r="J35" s="29"/>
      <c r="K35" s="29"/>
      <c r="L35" s="29"/>
      <c r="M35" s="34"/>
      <c r="N35" s="34"/>
      <c r="O35" s="36"/>
      <c r="P35" s="34"/>
      <c r="Q35" s="34"/>
      <c r="R35" s="36"/>
      <c r="S35" s="34"/>
      <c r="T35" s="36"/>
      <c r="U35" s="36"/>
      <c r="V35" s="30"/>
      <c r="W35" s="30"/>
      <c r="X35" s="30"/>
      <c r="Y35" s="30"/>
      <c r="Z35" s="30"/>
    </row>
    <row r="36" spans="1:26" x14ac:dyDescent="0.2">
      <c r="A36" s="29"/>
      <c r="B36" s="29"/>
      <c r="C36" s="29"/>
      <c r="D36" s="29"/>
      <c r="E36" s="29"/>
      <c r="F36" s="33"/>
      <c r="G36" s="29"/>
      <c r="H36" s="29"/>
      <c r="I36" s="29"/>
      <c r="J36" s="29"/>
      <c r="K36" s="29"/>
      <c r="L36" s="29"/>
      <c r="M36" s="34"/>
      <c r="N36" s="34"/>
      <c r="O36" s="36"/>
      <c r="P36" s="34"/>
      <c r="Q36" s="34"/>
      <c r="R36" s="36"/>
      <c r="S36" s="34"/>
      <c r="T36" s="36"/>
      <c r="U36" s="36"/>
      <c r="V36" s="30"/>
      <c r="W36" s="30"/>
      <c r="X36" s="30"/>
      <c r="Y36" s="30"/>
      <c r="Z36" s="30"/>
    </row>
    <row r="37" spans="1:26" x14ac:dyDescent="0.2">
      <c r="A37" s="29"/>
      <c r="B37" s="29"/>
      <c r="C37" s="29"/>
      <c r="D37" s="29"/>
      <c r="E37" s="29"/>
      <c r="F37" s="33"/>
      <c r="G37" s="29"/>
      <c r="H37" s="29"/>
      <c r="I37" s="29"/>
      <c r="J37" s="29"/>
      <c r="K37" s="29"/>
      <c r="L37" s="29"/>
      <c r="M37" s="34"/>
      <c r="N37" s="34"/>
      <c r="O37" s="36"/>
      <c r="P37" s="34"/>
      <c r="Q37" s="34"/>
      <c r="R37" s="36"/>
      <c r="S37" s="34"/>
      <c r="T37" s="36"/>
      <c r="U37" s="36"/>
      <c r="V37" s="30"/>
      <c r="W37" s="30"/>
      <c r="X37" s="30"/>
      <c r="Y37" s="30"/>
      <c r="Z37" s="30"/>
    </row>
    <row r="38" spans="1:26" x14ac:dyDescent="0.2">
      <c r="A38" s="29"/>
      <c r="B38" s="29"/>
      <c r="C38" s="29"/>
      <c r="D38" s="29"/>
      <c r="E38" s="29"/>
      <c r="F38" s="33"/>
      <c r="G38" s="29"/>
      <c r="H38" s="29"/>
      <c r="I38" s="29"/>
      <c r="J38" s="29"/>
      <c r="K38" s="29"/>
      <c r="L38" s="29"/>
      <c r="M38" s="34"/>
      <c r="N38" s="34"/>
      <c r="O38" s="36"/>
      <c r="P38" s="34"/>
      <c r="Q38" s="34"/>
      <c r="R38" s="36"/>
      <c r="S38" s="34"/>
      <c r="T38" s="36"/>
      <c r="U38" s="36"/>
      <c r="V38" s="30"/>
      <c r="W38" s="30"/>
      <c r="X38" s="30"/>
      <c r="Y38" s="30"/>
      <c r="Z38" s="30"/>
    </row>
    <row r="39" spans="1:26" x14ac:dyDescent="0.2">
      <c r="A39" s="29"/>
      <c r="B39" s="29"/>
      <c r="C39" s="29"/>
      <c r="D39" s="29"/>
      <c r="E39" s="29"/>
      <c r="F39" s="33"/>
      <c r="G39" s="29"/>
      <c r="H39" s="29"/>
      <c r="I39" s="29"/>
      <c r="J39" s="29"/>
      <c r="K39" s="29"/>
      <c r="L39" s="29"/>
      <c r="M39" s="34"/>
      <c r="N39" s="34"/>
      <c r="O39" s="36"/>
      <c r="P39" s="34"/>
      <c r="Q39" s="34"/>
      <c r="R39" s="36"/>
      <c r="S39" s="34"/>
      <c r="T39" s="36"/>
      <c r="U39" s="36"/>
      <c r="V39" s="30"/>
      <c r="W39" s="30"/>
      <c r="X39" s="30"/>
      <c r="Y39" s="30"/>
      <c r="Z39" s="30"/>
    </row>
    <row r="40" spans="1:26" x14ac:dyDescent="0.2">
      <c r="A40" s="29"/>
      <c r="B40" s="29"/>
      <c r="C40" s="29"/>
      <c r="D40" s="29"/>
      <c r="E40" s="29"/>
      <c r="F40" s="33"/>
      <c r="G40" s="29"/>
      <c r="H40" s="29"/>
      <c r="I40" s="29"/>
      <c r="J40" s="29"/>
      <c r="K40" s="29"/>
      <c r="L40" s="29"/>
      <c r="M40" s="34"/>
      <c r="N40" s="34"/>
      <c r="O40" s="36"/>
      <c r="P40" s="34"/>
      <c r="Q40" s="34"/>
      <c r="R40" s="36"/>
      <c r="S40" s="34"/>
      <c r="T40" s="36"/>
      <c r="U40" s="36"/>
      <c r="V40" s="30"/>
      <c r="W40" s="30"/>
      <c r="X40" s="30"/>
      <c r="Y40" s="30"/>
      <c r="Z40" s="30"/>
    </row>
    <row r="41" spans="1:26" x14ac:dyDescent="0.2">
      <c r="A41" s="29"/>
      <c r="B41" s="29"/>
      <c r="C41" s="29"/>
      <c r="D41" s="29"/>
      <c r="E41" s="29"/>
      <c r="F41" s="33"/>
      <c r="G41" s="29"/>
      <c r="H41" s="29"/>
      <c r="I41" s="29"/>
      <c r="J41" s="29"/>
      <c r="K41" s="29"/>
      <c r="L41" s="29"/>
      <c r="M41" s="34"/>
      <c r="N41" s="34"/>
      <c r="O41" s="36"/>
      <c r="P41" s="34"/>
      <c r="Q41" s="34"/>
      <c r="R41" s="36"/>
      <c r="S41" s="34"/>
      <c r="T41" s="36"/>
      <c r="U41" s="36"/>
      <c r="V41" s="30"/>
      <c r="W41" s="30"/>
      <c r="X41" s="30"/>
      <c r="Y41" s="30"/>
      <c r="Z41" s="30"/>
    </row>
    <row r="42" spans="1:26" x14ac:dyDescent="0.2">
      <c r="A42" s="29"/>
      <c r="B42" s="29"/>
      <c r="C42" s="29"/>
      <c r="D42" s="29"/>
      <c r="E42" s="29"/>
      <c r="F42" s="33"/>
      <c r="G42" s="29"/>
      <c r="H42" s="29"/>
      <c r="I42" s="29"/>
      <c r="J42" s="29"/>
      <c r="K42" s="29"/>
      <c r="L42" s="29"/>
      <c r="M42" s="34"/>
      <c r="N42" s="34"/>
      <c r="O42" s="36"/>
      <c r="P42" s="34"/>
      <c r="Q42" s="34"/>
      <c r="R42" s="36"/>
      <c r="S42" s="34"/>
      <c r="T42" s="36"/>
      <c r="U42" s="36"/>
      <c r="V42" s="30"/>
      <c r="W42" s="29"/>
      <c r="X42" s="30"/>
      <c r="Y42" s="30"/>
      <c r="Z42" s="30"/>
    </row>
    <row r="43" spans="1:26" x14ac:dyDescent="0.2">
      <c r="A43" s="29"/>
      <c r="B43" s="29"/>
      <c r="C43" s="29"/>
      <c r="D43" s="29"/>
      <c r="E43" s="29"/>
      <c r="F43" s="33"/>
      <c r="G43" s="29"/>
      <c r="H43" s="29"/>
      <c r="I43" s="29"/>
      <c r="J43" s="29"/>
      <c r="K43" s="29"/>
      <c r="L43" s="29"/>
      <c r="M43" s="34"/>
      <c r="N43" s="34"/>
      <c r="O43" s="36"/>
      <c r="P43" s="34"/>
      <c r="Q43" s="34"/>
      <c r="R43" s="36"/>
      <c r="S43" s="34"/>
      <c r="T43" s="36"/>
      <c r="U43" s="36"/>
      <c r="V43" s="30"/>
      <c r="W43" s="29"/>
      <c r="X43" s="30"/>
      <c r="Y43" s="30"/>
      <c r="Z43" s="30"/>
    </row>
    <row r="44" spans="1:26" x14ac:dyDescent="0.2">
      <c r="A44" s="29"/>
      <c r="B44" s="29"/>
      <c r="C44" s="29"/>
      <c r="D44" s="29"/>
      <c r="E44" s="29"/>
      <c r="F44" s="33"/>
      <c r="G44" s="29"/>
      <c r="H44" s="29"/>
      <c r="I44" s="29"/>
      <c r="J44" s="29"/>
      <c r="K44" s="29"/>
      <c r="L44" s="29"/>
      <c r="M44" s="34"/>
      <c r="N44" s="34"/>
      <c r="O44" s="36"/>
      <c r="P44" s="34"/>
      <c r="Q44" s="34"/>
      <c r="R44" s="36"/>
      <c r="S44" s="34"/>
      <c r="T44" s="36"/>
      <c r="U44" s="36"/>
      <c r="V44" s="30"/>
      <c r="W44" s="29"/>
      <c r="X44" s="30"/>
      <c r="Y44" s="30"/>
      <c r="Z44" s="30"/>
    </row>
    <row r="45" spans="1:26" x14ac:dyDescent="0.2">
      <c r="A45" s="29"/>
      <c r="B45" s="29"/>
      <c r="C45" s="29"/>
      <c r="D45" s="29"/>
      <c r="E45" s="29"/>
      <c r="F45" s="33"/>
      <c r="G45" s="29"/>
      <c r="H45" s="29"/>
      <c r="I45" s="29"/>
      <c r="J45" s="29"/>
      <c r="K45" s="29"/>
      <c r="L45" s="29"/>
      <c r="M45" s="34"/>
      <c r="N45" s="34"/>
      <c r="O45" s="36"/>
      <c r="P45" s="34"/>
      <c r="Q45" s="34"/>
      <c r="R45" s="36"/>
      <c r="S45" s="34"/>
      <c r="T45" s="36"/>
      <c r="U45" s="36"/>
      <c r="V45" s="30"/>
      <c r="W45" s="29"/>
      <c r="X45" s="30"/>
      <c r="Y45" s="30"/>
      <c r="Z45" s="30"/>
    </row>
    <row r="46" spans="1:26" x14ac:dyDescent="0.2">
      <c r="A46" s="29"/>
      <c r="B46" s="29"/>
      <c r="C46" s="29"/>
      <c r="D46" s="29"/>
      <c r="E46" s="29"/>
      <c r="F46" s="33"/>
      <c r="G46" s="29"/>
      <c r="H46" s="29"/>
      <c r="I46" s="29"/>
      <c r="J46" s="29"/>
      <c r="K46" s="29"/>
      <c r="L46" s="29"/>
      <c r="M46" s="34"/>
      <c r="N46" s="34"/>
      <c r="O46" s="36"/>
      <c r="P46" s="34"/>
      <c r="Q46" s="34"/>
      <c r="R46" s="36"/>
      <c r="S46" s="34"/>
      <c r="T46" s="36"/>
      <c r="U46" s="36"/>
      <c r="V46" s="30"/>
      <c r="W46" s="30"/>
      <c r="X46" s="30"/>
      <c r="Y46" s="30"/>
      <c r="Z46" s="30"/>
    </row>
    <row r="47" spans="1:26" x14ac:dyDescent="0.2">
      <c r="A47" s="29"/>
      <c r="B47" s="29"/>
      <c r="C47" s="29"/>
      <c r="D47" s="29"/>
      <c r="E47" s="29"/>
      <c r="F47" s="33"/>
      <c r="G47" s="29"/>
      <c r="H47" s="29"/>
      <c r="I47" s="29"/>
      <c r="J47" s="29"/>
      <c r="K47" s="29"/>
      <c r="L47" s="29"/>
      <c r="M47" s="34"/>
      <c r="N47" s="34"/>
      <c r="O47" s="36"/>
      <c r="P47" s="34"/>
      <c r="Q47" s="34"/>
      <c r="R47" s="36"/>
      <c r="S47" s="34"/>
      <c r="T47" s="36"/>
      <c r="U47" s="36"/>
      <c r="V47" s="30"/>
      <c r="W47" s="29"/>
      <c r="X47" s="30"/>
      <c r="Y47" s="30"/>
      <c r="Z47" s="30"/>
    </row>
    <row r="48" spans="1:26" x14ac:dyDescent="0.2">
      <c r="A48" s="29"/>
      <c r="B48" s="29"/>
      <c r="C48" s="29"/>
      <c r="D48" s="29"/>
      <c r="E48" s="29"/>
      <c r="F48" s="33"/>
      <c r="G48" s="29"/>
      <c r="H48" s="29"/>
      <c r="I48" s="29"/>
      <c r="J48" s="29"/>
      <c r="K48" s="29"/>
      <c r="L48" s="29"/>
      <c r="M48" s="34"/>
      <c r="N48" s="34"/>
      <c r="O48" s="36"/>
      <c r="P48" s="34"/>
      <c r="Q48" s="34"/>
      <c r="R48" s="36"/>
      <c r="S48" s="34"/>
      <c r="T48" s="36"/>
      <c r="U48" s="36"/>
      <c r="V48" s="30"/>
      <c r="W48" s="29"/>
      <c r="X48" s="30"/>
      <c r="Y48" s="30"/>
      <c r="Z48" s="30"/>
    </row>
    <row r="49" spans="1:26" x14ac:dyDescent="0.2">
      <c r="A49" s="29"/>
      <c r="B49" s="29"/>
      <c r="C49" s="29"/>
      <c r="D49" s="29"/>
      <c r="E49" s="29"/>
      <c r="F49" s="33"/>
      <c r="G49" s="29"/>
      <c r="H49" s="29"/>
      <c r="I49" s="29"/>
      <c r="J49" s="29"/>
      <c r="K49" s="29"/>
      <c r="L49" s="29"/>
      <c r="M49" s="34"/>
      <c r="N49" s="34"/>
      <c r="O49" s="36"/>
      <c r="P49" s="34"/>
      <c r="Q49" s="34"/>
      <c r="R49" s="36"/>
      <c r="S49" s="34"/>
      <c r="T49" s="36"/>
      <c r="U49" s="36"/>
      <c r="V49" s="30"/>
      <c r="W49" s="29"/>
      <c r="X49" s="30"/>
      <c r="Y49" s="30"/>
      <c r="Z49" s="30"/>
    </row>
    <row r="50" spans="1:26" x14ac:dyDescent="0.2">
      <c r="A50" s="37"/>
      <c r="B50" s="29"/>
      <c r="C50" s="29"/>
      <c r="D50" s="29"/>
      <c r="E50" s="29"/>
      <c r="F50" s="33"/>
      <c r="G50" s="29"/>
      <c r="H50" s="29"/>
      <c r="I50" s="29"/>
      <c r="J50" s="29"/>
      <c r="K50" s="29"/>
      <c r="L50" s="29"/>
      <c r="M50" s="34"/>
      <c r="N50" s="34"/>
      <c r="O50" s="36"/>
      <c r="P50" s="34"/>
      <c r="Q50" s="34"/>
      <c r="R50" s="36"/>
      <c r="S50" s="34"/>
      <c r="T50" s="36"/>
      <c r="U50" s="36"/>
      <c r="V50" s="30"/>
      <c r="W50" s="29"/>
      <c r="X50" s="30"/>
      <c r="Y50" s="30"/>
      <c r="Z50" s="30"/>
    </row>
    <row r="51" spans="1:26" x14ac:dyDescent="0.2">
      <c r="A51" s="37"/>
      <c r="B51" s="37"/>
      <c r="C51" s="37"/>
      <c r="D51" s="37"/>
      <c r="E51" s="37"/>
      <c r="F51" s="38"/>
      <c r="G51" s="37"/>
      <c r="H51" s="37"/>
      <c r="I51" s="37"/>
      <c r="J51" s="37"/>
      <c r="K51" s="37"/>
      <c r="L51" s="37"/>
      <c r="M51" s="39"/>
      <c r="N51" s="39"/>
      <c r="O51" s="40"/>
      <c r="P51" s="39"/>
      <c r="Q51" s="39"/>
      <c r="R51" s="40"/>
      <c r="S51" s="39"/>
      <c r="T51" s="36"/>
      <c r="U51" s="36"/>
      <c r="V51" s="30"/>
      <c r="W51" s="30"/>
      <c r="X51" s="30"/>
      <c r="Y51" s="30"/>
      <c r="Z51" s="30"/>
    </row>
    <row r="52" spans="1:26" x14ac:dyDescent="0.2">
      <c r="A52" s="41"/>
      <c r="B52" s="37"/>
      <c r="C52" s="37"/>
      <c r="D52" s="37"/>
      <c r="E52" s="37"/>
      <c r="F52" s="38"/>
      <c r="G52" s="37"/>
      <c r="H52" s="37"/>
      <c r="I52" s="37"/>
      <c r="J52" s="37"/>
      <c r="K52" s="37"/>
      <c r="L52" s="37"/>
      <c r="M52" s="39"/>
      <c r="N52" s="39"/>
      <c r="O52" s="40"/>
      <c r="P52" s="39"/>
      <c r="Q52" s="39"/>
      <c r="R52" s="40"/>
      <c r="S52" s="39"/>
      <c r="T52" s="36"/>
      <c r="U52" s="36"/>
      <c r="V52" s="30"/>
      <c r="W52" s="30"/>
      <c r="X52" s="30"/>
      <c r="Y52" s="30"/>
      <c r="Z52" s="30"/>
    </row>
    <row r="53" spans="1:26" x14ac:dyDescent="0.2">
      <c r="A53" s="37"/>
      <c r="B53" s="41"/>
      <c r="C53" s="41"/>
      <c r="D53" s="41"/>
      <c r="E53" s="41"/>
      <c r="F53" s="42"/>
      <c r="G53" s="41"/>
      <c r="H53" s="41"/>
      <c r="I53" s="41"/>
      <c r="J53" s="41"/>
      <c r="K53" s="41"/>
      <c r="L53" s="41"/>
      <c r="M53" s="43"/>
      <c r="N53" s="43"/>
      <c r="O53" s="44"/>
      <c r="P53" s="43"/>
      <c r="Q53" s="43"/>
      <c r="R53" s="41"/>
      <c r="S53" s="41"/>
      <c r="T53" s="44"/>
      <c r="U53" s="36"/>
      <c r="V53" s="46"/>
      <c r="W53" s="46"/>
      <c r="X53" s="30"/>
      <c r="Y53" s="30"/>
      <c r="Z53" s="30"/>
    </row>
    <row r="54" spans="1:26" x14ac:dyDescent="0.2">
      <c r="A54" s="37"/>
      <c r="B54" s="37"/>
      <c r="C54" s="37"/>
      <c r="D54" s="37"/>
      <c r="E54" s="37"/>
      <c r="F54" s="38"/>
      <c r="G54" s="37"/>
      <c r="H54" s="37"/>
      <c r="I54" s="37"/>
      <c r="J54" s="37"/>
      <c r="K54" s="37"/>
      <c r="L54" s="37"/>
      <c r="M54" s="39"/>
      <c r="N54" s="39"/>
      <c r="O54" s="40"/>
      <c r="P54" s="39"/>
      <c r="Q54" s="39"/>
      <c r="R54" s="40"/>
      <c r="S54" s="39"/>
      <c r="T54" s="36"/>
      <c r="U54" s="36"/>
      <c r="V54" s="30"/>
      <c r="W54" s="30"/>
      <c r="X54" s="30"/>
      <c r="Y54" s="30"/>
      <c r="Z54" s="30"/>
    </row>
    <row r="55" spans="1:26" x14ac:dyDescent="0.2">
      <c r="A55" s="37"/>
      <c r="B55" s="37"/>
      <c r="C55" s="37"/>
      <c r="D55" s="37"/>
      <c r="E55" s="37"/>
      <c r="F55" s="38"/>
      <c r="G55" s="37"/>
      <c r="H55" s="37"/>
      <c r="I55" s="37"/>
      <c r="J55" s="37"/>
      <c r="K55" s="37"/>
      <c r="L55" s="37"/>
      <c r="M55" s="39"/>
      <c r="N55" s="39"/>
      <c r="O55" s="40"/>
      <c r="P55" s="39"/>
      <c r="Q55" s="39"/>
      <c r="R55" s="40"/>
      <c r="S55" s="39"/>
      <c r="T55" s="36"/>
      <c r="U55" s="36"/>
      <c r="V55" s="30"/>
      <c r="W55" s="30"/>
      <c r="X55" s="30"/>
      <c r="Y55" s="30"/>
      <c r="Z55" s="30"/>
    </row>
    <row r="56" spans="1:26" x14ac:dyDescent="0.2">
      <c r="A56" s="37"/>
      <c r="B56" s="37"/>
      <c r="C56" s="37"/>
      <c r="D56" s="37"/>
      <c r="E56" s="37"/>
      <c r="F56" s="38"/>
      <c r="G56" s="37"/>
      <c r="H56" s="37"/>
      <c r="I56" s="37"/>
      <c r="J56" s="37"/>
      <c r="K56" s="37"/>
      <c r="L56" s="37"/>
      <c r="M56" s="39"/>
      <c r="N56" s="39"/>
      <c r="O56" s="40"/>
      <c r="P56" s="39"/>
      <c r="Q56" s="39"/>
      <c r="R56" s="40"/>
      <c r="S56" s="39"/>
      <c r="T56" s="36"/>
      <c r="U56" s="36"/>
      <c r="V56" s="30"/>
      <c r="W56" s="30"/>
      <c r="X56" s="30"/>
      <c r="Y56" s="30"/>
      <c r="Z56" s="30"/>
    </row>
    <row r="57" spans="1:26" x14ac:dyDescent="0.2">
      <c r="A57" s="37"/>
      <c r="B57" s="37"/>
      <c r="C57" s="37"/>
      <c r="D57" s="37"/>
      <c r="E57" s="37"/>
      <c r="F57" s="38"/>
      <c r="G57" s="37"/>
      <c r="H57" s="37"/>
      <c r="I57" s="37"/>
      <c r="J57" s="37"/>
      <c r="K57" s="37"/>
      <c r="L57" s="37"/>
      <c r="M57" s="39"/>
      <c r="N57" s="39"/>
      <c r="O57" s="40"/>
      <c r="P57" s="39"/>
      <c r="Q57" s="39"/>
      <c r="R57" s="40"/>
      <c r="S57" s="39"/>
      <c r="T57" s="36"/>
      <c r="U57" s="36"/>
      <c r="V57" s="30"/>
      <c r="W57" s="30"/>
      <c r="X57" s="30"/>
      <c r="Y57" s="30"/>
      <c r="Z57" s="30"/>
    </row>
    <row r="58" spans="1:26" x14ac:dyDescent="0.2">
      <c r="A58" s="37"/>
      <c r="B58" s="37"/>
      <c r="C58" s="37"/>
      <c r="D58" s="37"/>
      <c r="E58" s="37"/>
      <c r="F58" s="38"/>
      <c r="G58" s="37"/>
      <c r="H58" s="37"/>
      <c r="I58" s="37"/>
      <c r="J58" s="37"/>
      <c r="K58" s="37"/>
      <c r="L58" s="37"/>
      <c r="M58" s="39"/>
      <c r="N58" s="39"/>
      <c r="O58" s="40"/>
      <c r="P58" s="39"/>
      <c r="Q58" s="39"/>
      <c r="R58" s="40"/>
      <c r="S58" s="39"/>
      <c r="T58" s="36"/>
      <c r="U58" s="36"/>
      <c r="V58" s="30"/>
      <c r="W58" s="30"/>
      <c r="X58" s="30"/>
      <c r="Y58" s="30"/>
      <c r="Z58" s="30"/>
    </row>
    <row r="59" spans="1:26" x14ac:dyDescent="0.2">
      <c r="A59" s="37"/>
      <c r="B59" s="29"/>
      <c r="C59" s="29"/>
      <c r="D59" s="29"/>
      <c r="E59" s="29"/>
      <c r="F59" s="33"/>
      <c r="G59" s="29"/>
      <c r="H59" s="29"/>
      <c r="I59" s="29"/>
      <c r="J59" s="29"/>
      <c r="K59" s="29"/>
      <c r="L59" s="29"/>
      <c r="M59" s="34"/>
      <c r="N59" s="34"/>
      <c r="O59" s="36"/>
      <c r="P59" s="34"/>
      <c r="Q59" s="34"/>
      <c r="R59" s="36"/>
      <c r="S59" s="34"/>
      <c r="T59" s="36"/>
      <c r="U59" s="36"/>
      <c r="V59" s="30"/>
      <c r="W59" s="30"/>
      <c r="X59" s="30"/>
      <c r="Y59" s="30"/>
      <c r="Z59" s="30"/>
    </row>
    <row r="60" spans="1:26" x14ac:dyDescent="0.2">
      <c r="A60" s="37"/>
      <c r="B60" s="29"/>
      <c r="C60" s="29"/>
      <c r="D60" s="29"/>
      <c r="E60" s="29"/>
      <c r="F60" s="33"/>
      <c r="G60" s="29"/>
      <c r="H60" s="29"/>
      <c r="I60" s="29"/>
      <c r="J60" s="29"/>
      <c r="K60" s="29"/>
      <c r="L60" s="29"/>
      <c r="M60" s="34"/>
      <c r="N60" s="34"/>
      <c r="O60" s="36"/>
      <c r="P60" s="34"/>
      <c r="Q60" s="34"/>
      <c r="R60" s="36"/>
      <c r="S60" s="34"/>
      <c r="T60" s="36"/>
      <c r="U60" s="36"/>
      <c r="V60" s="30"/>
      <c r="W60" s="30"/>
      <c r="X60" s="30"/>
      <c r="Y60" s="30"/>
      <c r="Z60" s="30"/>
    </row>
    <row r="61" spans="1:26" x14ac:dyDescent="0.2">
      <c r="A61" s="37"/>
      <c r="B61" s="37"/>
      <c r="C61" s="37"/>
      <c r="D61" s="37"/>
      <c r="E61" s="37"/>
      <c r="F61" s="38"/>
      <c r="G61" s="37"/>
      <c r="H61" s="37"/>
      <c r="I61" s="37"/>
      <c r="J61" s="37"/>
      <c r="K61" s="37"/>
      <c r="L61" s="37"/>
      <c r="M61" s="39"/>
      <c r="N61" s="39"/>
      <c r="O61" s="40"/>
      <c r="P61" s="39"/>
      <c r="Q61" s="39"/>
      <c r="R61" s="40"/>
      <c r="S61" s="39"/>
      <c r="T61" s="36"/>
      <c r="U61" s="36"/>
      <c r="V61" s="30"/>
      <c r="W61" s="30"/>
      <c r="X61" s="30"/>
      <c r="Y61" s="30"/>
      <c r="Z61" s="30"/>
    </row>
    <row r="62" spans="1:26" x14ac:dyDescent="0.2">
      <c r="A62" s="37"/>
      <c r="B62" s="37"/>
      <c r="C62" s="37"/>
      <c r="D62" s="37"/>
      <c r="E62" s="37"/>
      <c r="F62" s="38"/>
      <c r="G62" s="37"/>
      <c r="H62" s="37"/>
      <c r="I62" s="37"/>
      <c r="J62" s="37"/>
      <c r="K62" s="37"/>
      <c r="L62" s="37"/>
      <c r="M62" s="39"/>
      <c r="N62" s="39"/>
      <c r="O62" s="40"/>
      <c r="P62" s="39"/>
      <c r="Q62" s="39"/>
      <c r="R62" s="40"/>
      <c r="S62" s="39"/>
      <c r="T62" s="36"/>
      <c r="U62" s="36"/>
      <c r="V62" s="30"/>
      <c r="W62" s="30"/>
      <c r="X62" s="30"/>
      <c r="Y62" s="30"/>
      <c r="Z62" s="30"/>
    </row>
    <row r="63" spans="1:26" x14ac:dyDescent="0.2">
      <c r="A63" s="37"/>
      <c r="B63" s="37"/>
      <c r="C63" s="37"/>
      <c r="D63" s="37"/>
      <c r="E63" s="37"/>
      <c r="F63" s="38"/>
      <c r="G63" s="37"/>
      <c r="H63" s="37"/>
      <c r="I63" s="37"/>
      <c r="J63" s="37"/>
      <c r="K63" s="37"/>
      <c r="L63" s="37"/>
      <c r="M63" s="39"/>
      <c r="N63" s="39"/>
      <c r="O63" s="40"/>
      <c r="P63" s="39"/>
      <c r="Q63" s="39"/>
      <c r="R63" s="40"/>
      <c r="S63" s="39"/>
      <c r="T63" s="36"/>
      <c r="U63" s="36"/>
      <c r="V63" s="30"/>
      <c r="W63" s="30"/>
      <c r="X63" s="30"/>
      <c r="Y63" s="30"/>
      <c r="Z63" s="30"/>
    </row>
    <row r="64" spans="1:26" x14ac:dyDescent="0.2">
      <c r="A64" s="37"/>
      <c r="B64" s="37"/>
      <c r="C64" s="37"/>
      <c r="D64" s="37"/>
      <c r="E64" s="37"/>
      <c r="F64" s="38"/>
      <c r="G64" s="37"/>
      <c r="H64" s="37"/>
      <c r="I64" s="37"/>
      <c r="J64" s="37"/>
      <c r="K64" s="37"/>
      <c r="L64" s="37"/>
      <c r="M64" s="39"/>
      <c r="N64" s="39"/>
      <c r="O64" s="40"/>
      <c r="P64" s="39"/>
      <c r="Q64" s="39"/>
      <c r="R64" s="40"/>
      <c r="S64" s="39"/>
      <c r="T64" s="36"/>
      <c r="U64" s="36"/>
      <c r="V64" s="30"/>
      <c r="W64" s="30"/>
      <c r="X64" s="30"/>
      <c r="Y64" s="30"/>
      <c r="Z64" s="30"/>
    </row>
    <row r="65" spans="1:26" x14ac:dyDescent="0.2">
      <c r="A65" s="37"/>
      <c r="B65" s="37"/>
      <c r="C65" s="37"/>
      <c r="D65" s="37"/>
      <c r="E65" s="37"/>
      <c r="F65" s="38"/>
      <c r="G65" s="37"/>
      <c r="H65" s="37"/>
      <c r="I65" s="37"/>
      <c r="J65" s="37"/>
      <c r="K65" s="37"/>
      <c r="L65" s="37"/>
      <c r="M65" s="39"/>
      <c r="N65" s="39"/>
      <c r="O65" s="40"/>
      <c r="P65" s="39"/>
      <c r="Q65" s="39"/>
      <c r="R65" s="40"/>
      <c r="S65" s="39"/>
      <c r="T65" s="36"/>
      <c r="U65" s="36"/>
      <c r="V65" s="30"/>
      <c r="W65" s="30"/>
      <c r="X65" s="30"/>
      <c r="Y65" s="30"/>
      <c r="Z65" s="30"/>
    </row>
    <row r="66" spans="1:26" x14ac:dyDescent="0.2">
      <c r="A66" s="37"/>
      <c r="B66" s="37"/>
      <c r="C66" s="37"/>
      <c r="D66" s="37"/>
      <c r="E66" s="37"/>
      <c r="F66" s="38"/>
      <c r="G66" s="37"/>
      <c r="H66" s="37"/>
      <c r="I66" s="37"/>
      <c r="J66" s="37"/>
      <c r="K66" s="37"/>
      <c r="L66" s="37"/>
      <c r="M66" s="39"/>
      <c r="N66" s="39"/>
      <c r="O66" s="40"/>
      <c r="P66" s="39"/>
      <c r="Q66" s="39"/>
      <c r="R66" s="40"/>
      <c r="S66" s="39"/>
      <c r="T66" s="36"/>
      <c r="U66" s="36"/>
      <c r="V66" s="30"/>
      <c r="W66" s="30"/>
      <c r="X66" s="30"/>
      <c r="Y66" s="30"/>
      <c r="Z66" s="30"/>
    </row>
    <row r="67" spans="1:26" x14ac:dyDescent="0.2">
      <c r="A67" s="37"/>
      <c r="B67" s="37"/>
      <c r="C67" s="37"/>
      <c r="D67" s="37"/>
      <c r="E67" s="37"/>
      <c r="F67" s="38"/>
      <c r="G67" s="37"/>
      <c r="H67" s="37"/>
      <c r="I67" s="37"/>
      <c r="J67" s="37"/>
      <c r="K67" s="37"/>
      <c r="L67" s="37"/>
      <c r="M67" s="39"/>
      <c r="N67" s="39"/>
      <c r="O67" s="40"/>
      <c r="P67" s="39"/>
      <c r="Q67" s="39"/>
      <c r="R67" s="40"/>
      <c r="S67" s="39"/>
      <c r="T67" s="36"/>
      <c r="U67" s="36"/>
      <c r="V67" s="30"/>
      <c r="W67" s="30"/>
      <c r="X67" s="30"/>
      <c r="Y67" s="30"/>
      <c r="Z67" s="30"/>
    </row>
    <row r="68" spans="1:26" x14ac:dyDescent="0.2">
      <c r="A68" s="37"/>
      <c r="B68" s="37"/>
      <c r="C68" s="37"/>
      <c r="D68" s="37"/>
      <c r="E68" s="37"/>
      <c r="F68" s="38"/>
      <c r="G68" s="37"/>
      <c r="H68" s="37"/>
      <c r="I68" s="37"/>
      <c r="J68" s="37"/>
      <c r="K68" s="37"/>
      <c r="L68" s="37"/>
      <c r="M68" s="39"/>
      <c r="N68" s="39"/>
      <c r="O68" s="40"/>
      <c r="P68" s="39"/>
      <c r="Q68" s="39"/>
      <c r="R68" s="40"/>
      <c r="S68" s="39"/>
      <c r="T68" s="36"/>
      <c r="U68" s="36"/>
      <c r="V68" s="30"/>
      <c r="W68" s="30"/>
      <c r="X68" s="30"/>
      <c r="Y68" s="30"/>
      <c r="Z68" s="30"/>
    </row>
    <row r="69" spans="1:26" x14ac:dyDescent="0.2">
      <c r="A69" s="30"/>
      <c r="B69" s="37"/>
      <c r="C69" s="37"/>
      <c r="D69" s="37"/>
      <c r="E69" s="37"/>
      <c r="F69" s="38"/>
      <c r="G69" s="37"/>
      <c r="H69" s="37"/>
      <c r="I69" s="37"/>
      <c r="J69" s="37"/>
      <c r="K69" s="37"/>
      <c r="L69" s="37"/>
      <c r="M69" s="39"/>
      <c r="N69" s="39"/>
      <c r="O69" s="40"/>
      <c r="P69" s="39"/>
      <c r="Q69" s="39"/>
      <c r="R69" s="40"/>
      <c r="S69" s="39"/>
      <c r="T69" s="36"/>
      <c r="U69" s="36"/>
      <c r="V69" s="30"/>
      <c r="W69" s="30"/>
      <c r="X69" s="30"/>
      <c r="Y69" s="30"/>
      <c r="Z69" s="30"/>
    </row>
    <row r="70" spans="1:26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spans="1:26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</row>
    <row r="72" spans="1:26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</row>
    <row r="73" spans="1:26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</row>
    <row r="74" spans="1:26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</row>
    <row r="75" spans="1:26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</row>
    <row r="76" spans="1:26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</row>
    <row r="77" spans="1:26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</row>
    <row r="78" spans="1:26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spans="1:26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</row>
    <row r="80" spans="1:26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</row>
    <row r="81" spans="1:26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</row>
    <row r="82" spans="1:26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</row>
    <row r="83" spans="1:26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</row>
    <row r="84" spans="1:26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</row>
    <row r="85" spans="1:26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</row>
    <row r="86" spans="1:26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</row>
    <row r="87" spans="1:26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spans="1:26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</row>
    <row r="89" spans="1:26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</row>
    <row r="90" spans="1:26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</row>
    <row r="91" spans="1:26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</row>
    <row r="92" spans="1:26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</row>
    <row r="93" spans="1:26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</row>
    <row r="94" spans="1:26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</row>
    <row r="95" spans="1:26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</row>
    <row r="96" spans="1:26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</row>
    <row r="97" spans="1:26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spans="1:26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</row>
    <row r="99" spans="1:26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</row>
    <row r="100" spans="1:26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</row>
    <row r="101" spans="1:26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</row>
    <row r="102" spans="1:26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</row>
    <row r="103" spans="1:26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</row>
    <row r="104" spans="1:26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</row>
    <row r="105" spans="1:26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</row>
    <row r="106" spans="1:26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</row>
    <row r="107" spans="1:26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</row>
    <row r="108" spans="1:26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</row>
    <row r="109" spans="1:26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</row>
    <row r="110" spans="1:26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spans="1:26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spans="1:26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</row>
    <row r="113" spans="1:26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</row>
    <row r="114" spans="1:26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</row>
    <row r="115" spans="1:26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</row>
    <row r="116" spans="1:26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</row>
    <row r="117" spans="1:26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</row>
    <row r="118" spans="1:26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</row>
    <row r="119" spans="1:26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</row>
    <row r="120" spans="1:26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</row>
    <row r="121" spans="1:26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</row>
    <row r="122" spans="1:26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</row>
    <row r="123" spans="1:26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</row>
    <row r="124" spans="1:26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</row>
    <row r="125" spans="1:26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</row>
    <row r="126" spans="1:26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</row>
    <row r="127" spans="1:26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</row>
    <row r="128" spans="1:26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</row>
    <row r="129" spans="1:26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</row>
    <row r="130" spans="1:26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</row>
    <row r="131" spans="1:26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</row>
    <row r="132" spans="1:26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</row>
    <row r="133" spans="1:26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</row>
    <row r="134" spans="1:26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</row>
    <row r="135" spans="1:26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</row>
    <row r="136" spans="1:26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</row>
    <row r="137" spans="1:26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</row>
    <row r="138" spans="1:26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</row>
    <row r="139" spans="1:26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</row>
    <row r="140" spans="1:26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</row>
    <row r="141" spans="1:26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spans="1:26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spans="1:26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spans="1:26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</row>
    <row r="145" spans="1:26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</row>
    <row r="146" spans="1:26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</row>
    <row r="147" spans="1:26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</row>
    <row r="148" spans="1:26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</row>
    <row r="149" spans="1:26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</row>
    <row r="150" spans="1:26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</row>
    <row r="151" spans="1:26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</row>
    <row r="152" spans="1:26" x14ac:dyDescent="0.2">
      <c r="A152" s="30"/>
      <c r="B152" s="30"/>
      <c r="C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</row>
    <row r="153" spans="1:26" x14ac:dyDescent="0.2">
      <c r="A153" s="30"/>
      <c r="B153" s="30"/>
      <c r="C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</row>
    <row r="154" spans="1:26" x14ac:dyDescent="0.2">
      <c r="A154" s="30"/>
      <c r="B154" s="30"/>
      <c r="C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</row>
    <row r="155" spans="1:26" x14ac:dyDescent="0.2">
      <c r="A155" s="30"/>
      <c r="B155" s="30"/>
      <c r="C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</row>
    <row r="156" spans="1:26" x14ac:dyDescent="0.2">
      <c r="A156" s="30"/>
      <c r="B156" s="30"/>
      <c r="C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</row>
    <row r="157" spans="1:26" x14ac:dyDescent="0.2">
      <c r="A157" s="30"/>
      <c r="B157" s="30"/>
      <c r="C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</row>
    <row r="158" spans="1:26" x14ac:dyDescent="0.2">
      <c r="A158" s="30"/>
      <c r="B158" s="30"/>
      <c r="C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</row>
    <row r="159" spans="1:26" x14ac:dyDescent="0.2">
      <c r="A159" s="30"/>
      <c r="B159" s="30"/>
      <c r="C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</row>
    <row r="160" spans="1:26" x14ac:dyDescent="0.2">
      <c r="A160" s="30"/>
      <c r="B160" s="30"/>
      <c r="C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</row>
    <row r="161" spans="1:26" x14ac:dyDescent="0.2">
      <c r="A161" s="30"/>
      <c r="B161" s="30"/>
      <c r="C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</row>
    <row r="162" spans="1:26" x14ac:dyDescent="0.2">
      <c r="A162" s="30"/>
      <c r="B162" s="30"/>
      <c r="C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</row>
    <row r="163" spans="1:26" x14ac:dyDescent="0.2">
      <c r="A163" s="30"/>
      <c r="B163" s="30"/>
      <c r="C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</row>
    <row r="164" spans="1:26" x14ac:dyDescent="0.2">
      <c r="A164" s="30"/>
      <c r="B164" s="30"/>
      <c r="C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</row>
    <row r="165" spans="1:26" x14ac:dyDescent="0.2">
      <c r="A165" s="30"/>
      <c r="B165" s="30"/>
      <c r="C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</row>
    <row r="166" spans="1:26" x14ac:dyDescent="0.2">
      <c r="A166" s="30"/>
      <c r="B166" s="30"/>
      <c r="C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</row>
    <row r="167" spans="1:26" x14ac:dyDescent="0.2">
      <c r="A167" s="30"/>
      <c r="B167" s="30"/>
      <c r="C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</row>
    <row r="168" spans="1:26" x14ac:dyDescent="0.2">
      <c r="A168" s="30"/>
      <c r="B168" s="30"/>
      <c r="C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</row>
    <row r="169" spans="1:26" x14ac:dyDescent="0.2">
      <c r="A169" s="30"/>
      <c r="B169" s="30"/>
      <c r="C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</row>
    <row r="170" spans="1:26" x14ac:dyDescent="0.2">
      <c r="A170" s="30"/>
      <c r="B170" s="30"/>
      <c r="C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</row>
    <row r="171" spans="1:26" x14ac:dyDescent="0.2">
      <c r="A171" s="30"/>
      <c r="B171" s="30"/>
      <c r="C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</row>
    <row r="172" spans="1:26" x14ac:dyDescent="0.2">
      <c r="A172" s="30"/>
      <c r="B172" s="30"/>
      <c r="C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</row>
    <row r="173" spans="1:26" x14ac:dyDescent="0.2">
      <c r="A173" s="30"/>
      <c r="B173" s="30"/>
      <c r="C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</row>
    <row r="174" spans="1:26" x14ac:dyDescent="0.2">
      <c r="A174" s="30"/>
      <c r="B174" s="30"/>
      <c r="C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</row>
    <row r="175" spans="1:26" x14ac:dyDescent="0.2">
      <c r="A175" s="30"/>
      <c r="B175" s="30"/>
      <c r="C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</row>
    <row r="176" spans="1:26" x14ac:dyDescent="0.2">
      <c r="A176" s="30"/>
      <c r="B176" s="30"/>
      <c r="C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</row>
    <row r="177" spans="1:26" x14ac:dyDescent="0.2">
      <c r="A177" s="30"/>
      <c r="B177" s="30"/>
      <c r="C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</row>
    <row r="178" spans="1:26" x14ac:dyDescent="0.2">
      <c r="A178" s="30"/>
      <c r="B178" s="30"/>
      <c r="C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</row>
    <row r="179" spans="1:26" x14ac:dyDescent="0.2">
      <c r="A179" s="30"/>
      <c r="B179" s="30"/>
      <c r="C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</row>
    <row r="180" spans="1:26" x14ac:dyDescent="0.2">
      <c r="A180" s="30"/>
      <c r="B180" s="30"/>
      <c r="C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</row>
    <row r="181" spans="1:26" x14ac:dyDescent="0.2">
      <c r="A181" s="30"/>
      <c r="B181" s="30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</row>
    <row r="182" spans="1:26" x14ac:dyDescent="0.2">
      <c r="B182" s="30"/>
      <c r="C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</row>
  </sheetData>
  <phoneticPr fontId="0" type="noConversion"/>
  <pageMargins left="0.78740157499999996" right="0.78740157499999996" top="0.984251969" bottom="0.984251969" header="0.4921259845" footer="0.4921259845"/>
  <pageSetup paperSize="9" scale="80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Přehled</vt:lpstr>
      <vt:lpstr>Nový hřbitov-centrum</vt:lpstr>
      <vt:lpstr>Nový hřbitov-jih</vt:lpstr>
      <vt:lpstr>List2</vt:lpstr>
    </vt:vector>
  </TitlesOfParts>
  <Company>Energie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Matela Josef, Mgr.</cp:lastModifiedBy>
  <cp:lastPrinted>2018-05-13T19:40:16Z</cp:lastPrinted>
  <dcterms:created xsi:type="dcterms:W3CDTF">2005-02-25T06:00:54Z</dcterms:created>
  <dcterms:modified xsi:type="dcterms:W3CDTF">2018-06-17T22:43:55Z</dcterms:modified>
</cp:coreProperties>
</file>